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W:\2 - PROCESSO LICITATORIO\2 - EDITAIS\EDITAIS 2023\MAIO\PE - 232023 - PROCURADORIA GERAL DA JUSTIÇA - VIGILANCIA - MA\"/>
    </mc:Choice>
  </mc:AlternateContent>
  <xr:revisionPtr revIDLastSave="0" documentId="13_ncr:1_{6E57F9B0-3616-4D55-A32B-0E5F9C0A0BD9}" xr6:coauthVersionLast="47" xr6:coauthVersionMax="47" xr10:uidLastSave="{00000000-0000-0000-0000-000000000000}"/>
  <bookViews>
    <workbookView xWindow="-108" yWindow="-108" windowWidth="23256" windowHeight="12456" tabRatio="775" firstSheet="1" activeTab="1" xr2:uid="{00000000-000D-0000-FFFF-FFFF00000000}"/>
  </bookViews>
  <sheets>
    <sheet name="RESUMO (2)" sheetId="20" state="hidden" r:id="rId1"/>
    <sheet name="RESUMO" sheetId="6" r:id="rId2"/>
    <sheet name="A SLZ - DIU" sheetId="4" r:id="rId3"/>
    <sheet name="B SLZ - NOT" sheetId="5" r:id="rId4"/>
    <sheet name="A SJR - DIU (2)" sheetId="12" r:id="rId5"/>
    <sheet name="B SJR - NOT (2)" sheetId="13" r:id="rId6"/>
    <sheet name="A PAÇO - DIU (3)" sheetId="14" r:id="rId7"/>
    <sheet name="B PAÇO - NOT (3)" sheetId="15" r:id="rId8"/>
    <sheet name="Uniformes" sheetId="11" r:id="rId9"/>
    <sheet name="MEMORIA DE CAL" sheetId="18" r:id="rId10"/>
    <sheet name="MEM CAL BDI" sheetId="19" r:id="rId11"/>
  </sheets>
  <externalReferences>
    <externalReference r:id="rId12"/>
  </externalReferences>
  <definedNames>
    <definedName name="__xlnm.Print_Area_1">#REF!</definedName>
    <definedName name="__xlnm.Print_Area_2">#REF!</definedName>
    <definedName name="__xlnm.Print_Area_3">#REF!</definedName>
    <definedName name="_1Excel_BuiltIn_Print_Titles_1_1">#REF!</definedName>
    <definedName name="_xlnm.Print_Area" localSheetId="6">'A PAÇO - DIU (3)'!$A$1:$E$136</definedName>
    <definedName name="_xlnm.Print_Area" localSheetId="4">'A SJR - DIU (2)'!$A$1:$E$136</definedName>
    <definedName name="_xlnm.Print_Area" localSheetId="2">'A SLZ - DIU'!$A$1:$E$136</definedName>
    <definedName name="_xlnm.Print_Area" localSheetId="7">'B PAÇO - NOT (3)'!$A$1:$E$135</definedName>
    <definedName name="_xlnm.Print_Area" localSheetId="5">'B SJR - NOT (2)'!$A$1:$E$136</definedName>
    <definedName name="_xlnm.Print_Area" localSheetId="3">'B SLZ - NOT'!$A$1:$E$136</definedName>
    <definedName name="_xlnm.Print_Area" localSheetId="9">'MEMORIA DE CAL'!$A$1:$K$66</definedName>
    <definedName name="_xlnm.Print_Area" localSheetId="1">RESUMO!$A$1:$L$39</definedName>
    <definedName name="_xlnm.Print_Area" localSheetId="0">'RESUMO (2)'!$A$1:$L$22</definedName>
    <definedName name="_xlnm.Print_Area" localSheetId="8">Uniformes!$A$1:$I$34</definedName>
    <definedName name="BS">[1]Base!$A$10:$S$21</definedName>
    <definedName name="COFINS">#REF!</definedName>
    <definedName name="COFINSM">#REF!</definedName>
    <definedName name="CPMF">NA()</definedName>
    <definedName name="custos_indiretos">#REF!</definedName>
    <definedName name="custos_indiretosM">#REF!</definedName>
    <definedName name="Excel_BuiltIn_Print_Area">#REF!</definedName>
    <definedName name="Excel_BuiltIn_Print_Area_1">#N/A</definedName>
    <definedName name="Excel_BuiltIn_Print_Area_1_1">"$#REF!.$A$2:$C$99"</definedName>
    <definedName name="Excel_BuiltIn_Print_Area_1_2">#N/A</definedName>
    <definedName name="Excel_BuiltIn_Print_Area_10">"$#REF!.$A$1:$C$71"</definedName>
    <definedName name="Excel_BuiltIn_Print_Area_11">"$#REF!.$A$1:$C$71"</definedName>
    <definedName name="Excel_BuiltIn_Print_Area_12">"$#REF!.$A$1:$C$71"</definedName>
    <definedName name="Excel_BuiltIn_Print_Area_13">"$#REF!.$A$1:$C$71"</definedName>
    <definedName name="Excel_BuiltIn_Print_Area_14">"$#REF!.$A$1:$C$71"</definedName>
    <definedName name="Excel_BuiltIn_Print_Area_15">"$#REF!.$A$1:$C$71"</definedName>
    <definedName name="Excel_BuiltIn_Print_Area_16">"$#REF!.$A$1:$C$71"</definedName>
    <definedName name="Excel_BuiltIn_Print_Area_17">"$#REF!.$A$1:$C$71"</definedName>
    <definedName name="Excel_BuiltIn_Print_Area_2">#N/A</definedName>
    <definedName name="Excel_BuiltIn_Print_Area_2_2">#N/A</definedName>
    <definedName name="Excel_BuiltIn_Print_Area_3">#REF!</definedName>
    <definedName name="Excel_BuiltIn_Print_Area_4">"$#REF!.$A$1:$C$71"</definedName>
    <definedName name="Excel_BuiltIn_Print_Area_5">"$#REF!.$A$1:$C$71"</definedName>
    <definedName name="Excel_BuiltIn_Print_Area_6">"$#REF!.$A$1:$C$71"</definedName>
    <definedName name="Excel_BuiltIn_Print_Area_7">"$#REF!.$A$1:$C$71"</definedName>
    <definedName name="Excel_BuiltIn_Print_Area_8">"$#REF!.$A$1:$C$71"</definedName>
    <definedName name="Excel_BuiltIn_Print_Area_9">"$#REF!.$A$1:$C$71"</definedName>
    <definedName name="Excel_BuiltIn_Print_Titles_1_1">#REF!</definedName>
    <definedName name="Excel_BuiltIn_Print_Titles_32">#REF!</definedName>
    <definedName name="Excel_BuiltIn_Print_Titles_33">#REF!</definedName>
    <definedName name="Excel_BuiltIn_Print_Titles_34">#REF!</definedName>
    <definedName name="Excel_BuiltIn_Print_Titles_35">#REF!</definedName>
    <definedName name="Excel_BuiltIn_Print_Titles_36">#REF!</definedName>
    <definedName name="Excel_BuiltIn_Print_Titles_37">#REF!</definedName>
    <definedName name="Excel_BuiltIn_Print_Titles_38">#REF!</definedName>
    <definedName name="Excel_BuiltIn_Print_Titles_39">#REF!</definedName>
    <definedName name="Excel_BuiltIn_Print_Titles_40">#REF!</definedName>
    <definedName name="Excel_BuiltIn_Print_Titles_41">#REF!</definedName>
    <definedName name="Excel_BuiltIn_Print_Titles_42">#REF!</definedName>
    <definedName name="Excel_BuiltIn_Print_Titles_43">#REF!</definedName>
    <definedName name="indice_oco_afast_matern">#REF!</definedName>
    <definedName name="indice_oco_demis">#REF!</definedName>
    <definedName name="ISS">#REF!</definedName>
    <definedName name="ISSM">#REF!</definedName>
    <definedName name="lucro">#REF!</definedName>
    <definedName name="lucroM">#REF!</definedName>
    <definedName name="M1a4">#REF!</definedName>
    <definedName name="M1a4M">#REF!</definedName>
    <definedName name="M2_">#REF!</definedName>
    <definedName name="M2_M">#REF!</definedName>
    <definedName name="M3_">#REF!</definedName>
    <definedName name="M3_M">#REF!</definedName>
    <definedName name="M4_">#REF!</definedName>
    <definedName name="M4_1">#REF!</definedName>
    <definedName name="M4_1M">#REF!</definedName>
    <definedName name="M4_2">#REF!</definedName>
    <definedName name="M4_2M">#REF!</definedName>
    <definedName name="M4_3">#REF!</definedName>
    <definedName name="M4_3M">#REF!</definedName>
    <definedName name="M4_4">#REF!</definedName>
    <definedName name="M4_4M">#REF!</definedName>
    <definedName name="M4_5">#REF!</definedName>
    <definedName name="M4_5M">#REF!</definedName>
    <definedName name="M4_6">#REF!</definedName>
    <definedName name="M4_6M">#REF!</definedName>
    <definedName name="M4_M">#REF!</definedName>
    <definedName name="M5_">#REF!</definedName>
    <definedName name="M5_M">#REF!</definedName>
    <definedName name="num_dias_aus_doenca">#REF!</definedName>
    <definedName name="num_dias_aus_legais">#REF!</definedName>
    <definedName name="PageMaker">#REF!</definedName>
    <definedName name="perc_encargosSociais">#REF!</definedName>
    <definedName name="perc_encargosSociaisM">#REF!</definedName>
    <definedName name="perc_FGTS">#REF!</definedName>
    <definedName name="perc_FGTSM">#REF!</definedName>
    <definedName name="perc_oco_licen_patern">#REF!</definedName>
    <definedName name="perc_ocor_acid_trab">#REF!</definedName>
    <definedName name="PIS">#REF!</definedName>
    <definedName name="PISM">#REF!</definedName>
    <definedName name="qtde_postos">#REF!</definedName>
    <definedName name="qtde_postosM">#REF!</definedName>
    <definedName name="salario_base">#REF!</definedName>
    <definedName name="salario_baseM">#REF!</definedName>
    <definedName name="salario_remuneracao">#REF!</definedName>
    <definedName name="salario_remuneracaoM">#REF!</definedName>
    <definedName name="salario13o">#REF!</definedName>
    <definedName name="salario13oM">#REF!</definedName>
    <definedName name="Teste">#N/A</definedName>
    <definedName name="Valor_Mensal_Posto">#REF!</definedName>
    <definedName name="Valor_Mensal_PostoM">#REF!</definedName>
    <definedName name="valor_passagem">#REF!</definedName>
    <definedName name="valor_passagemM">#REF!</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7" i="6" l="1"/>
  <c r="K38" i="6"/>
  <c r="M5" i="6"/>
  <c r="D81" i="15"/>
  <c r="D36" i="12"/>
  <c r="D81" i="14"/>
  <c r="D82" i="5"/>
  <c r="D83" i="5"/>
  <c r="D84" i="5"/>
  <c r="D85" i="5"/>
  <c r="D82" i="12"/>
  <c r="D83" i="12"/>
  <c r="D84" i="12"/>
  <c r="D85" i="12"/>
  <c r="D82" i="13"/>
  <c r="D83" i="13"/>
  <c r="D84" i="13"/>
  <c r="D85" i="13"/>
  <c r="D82" i="14"/>
  <c r="D83" i="14"/>
  <c r="D84" i="14"/>
  <c r="D85" i="14"/>
  <c r="D82" i="15"/>
  <c r="D83" i="15"/>
  <c r="D84" i="15"/>
  <c r="D85" i="15"/>
  <c r="D82" i="4"/>
  <c r="D83" i="4"/>
  <c r="D84" i="4"/>
  <c r="D85" i="4"/>
  <c r="D81" i="5"/>
  <c r="D81" i="12"/>
  <c r="D81" i="13"/>
  <c r="D81" i="4"/>
  <c r="D68" i="4"/>
  <c r="D43" i="12"/>
  <c r="D42" i="12"/>
  <c r="D41" i="12"/>
  <c r="D40" i="12"/>
  <c r="D39" i="12"/>
  <c r="D38" i="12"/>
  <c r="D37" i="12"/>
  <c r="D43" i="13"/>
  <c r="D42" i="13"/>
  <c r="D41" i="13"/>
  <c r="D40" i="13"/>
  <c r="D39" i="13"/>
  <c r="D38" i="13"/>
  <c r="D37" i="13"/>
  <c r="D36" i="13"/>
  <c r="D43" i="14"/>
  <c r="D42" i="14"/>
  <c r="D41" i="14"/>
  <c r="D40" i="14"/>
  <c r="D39" i="14"/>
  <c r="D38" i="14"/>
  <c r="D37" i="14"/>
  <c r="D36" i="14"/>
  <c r="D43" i="15"/>
  <c r="D42" i="15"/>
  <c r="D41" i="15"/>
  <c r="D40" i="15"/>
  <c r="D39" i="15"/>
  <c r="D38" i="15"/>
  <c r="D37" i="15"/>
  <c r="D36" i="15"/>
  <c r="D43" i="5"/>
  <c r="D42" i="5"/>
  <c r="D41" i="5"/>
  <c r="D40" i="5"/>
  <c r="D39" i="5"/>
  <c r="D38" i="5"/>
  <c r="D37" i="5"/>
  <c r="D36" i="5"/>
  <c r="D37" i="4"/>
  <c r="D38" i="4"/>
  <c r="D39" i="4"/>
  <c r="D40" i="4"/>
  <c r="D41" i="4"/>
  <c r="D42" i="4"/>
  <c r="D43" i="4"/>
  <c r="D36" i="4"/>
  <c r="D44" i="4" l="1"/>
  <c r="G117" i="13"/>
  <c r="G118" i="13" s="1"/>
  <c r="G116" i="15"/>
  <c r="G117" i="15" s="1"/>
  <c r="F117" i="5"/>
  <c r="F118" i="5" s="1"/>
  <c r="C49" i="15"/>
  <c r="C49" i="13"/>
  <c r="C49" i="5"/>
  <c r="C49" i="4"/>
  <c r="C50" i="15"/>
  <c r="C50" i="14"/>
  <c r="C50" i="13"/>
  <c r="C50" i="12"/>
  <c r="C50" i="5"/>
  <c r="C50" i="4"/>
  <c r="J38" i="18"/>
  <c r="C99" i="15"/>
  <c r="C55" i="15" l="1"/>
  <c r="N17" i="20"/>
  <c r="N16" i="20"/>
  <c r="N15" i="20"/>
  <c r="N14" i="20"/>
  <c r="N13" i="20"/>
  <c r="N12" i="20"/>
  <c r="N11" i="20"/>
  <c r="N10" i="20"/>
  <c r="N9" i="20"/>
  <c r="N8" i="20"/>
  <c r="N7" i="20"/>
  <c r="N6" i="20"/>
  <c r="C20" i="15"/>
  <c r="J27" i="18"/>
  <c r="B2" i="18"/>
  <c r="H27" i="11"/>
  <c r="H25" i="11"/>
  <c r="H24" i="11"/>
  <c r="H23" i="11"/>
  <c r="H22" i="11"/>
  <c r="H21" i="11"/>
  <c r="H26" i="11"/>
  <c r="H30" i="11"/>
  <c r="H20" i="11"/>
  <c r="H29" i="11"/>
  <c r="H28" i="11"/>
  <c r="H19" i="11"/>
  <c r="H18" i="11"/>
  <c r="H12" i="11"/>
  <c r="B2" i="11"/>
  <c r="N34" i="6"/>
  <c r="N33" i="6"/>
  <c r="N29" i="6"/>
  <c r="N28" i="6"/>
  <c r="N22" i="6"/>
  <c r="N21" i="6"/>
  <c r="N17" i="6"/>
  <c r="N16" i="6"/>
  <c r="N12" i="6"/>
  <c r="N11" i="6"/>
  <c r="N7" i="6"/>
  <c r="N6" i="6"/>
  <c r="C126" i="15"/>
  <c r="B122" i="15"/>
  <c r="C121" i="15"/>
  <c r="C81" i="15"/>
  <c r="D80" i="15"/>
  <c r="C91" i="15" s="1"/>
  <c r="C97" i="15" s="1"/>
  <c r="C104" i="15" s="1"/>
  <c r="C69" i="15"/>
  <c r="C68" i="15"/>
  <c r="D67" i="15"/>
  <c r="C44" i="15"/>
  <c r="C72" i="15" s="1"/>
  <c r="C31" i="15"/>
  <c r="C19" i="15"/>
  <c r="B123" i="14"/>
  <c r="C122" i="14"/>
  <c r="C81" i="14"/>
  <c r="C69" i="14"/>
  <c r="C68" i="14"/>
  <c r="C59" i="14"/>
  <c r="D67" i="14" s="1"/>
  <c r="D80" i="14" s="1"/>
  <c r="C91" i="14" s="1"/>
  <c r="C98" i="14" s="1"/>
  <c r="C105" i="14" s="1"/>
  <c r="C51" i="14"/>
  <c r="C49" i="14"/>
  <c r="C44" i="14"/>
  <c r="C72" i="14" s="1"/>
  <c r="C31" i="14"/>
  <c r="C19" i="14"/>
  <c r="C20" i="14" s="1"/>
  <c r="C19" i="5"/>
  <c r="C127" i="13"/>
  <c r="B123" i="13"/>
  <c r="C122" i="13"/>
  <c r="C81" i="13"/>
  <c r="C69" i="13"/>
  <c r="C68" i="13"/>
  <c r="D67" i="13"/>
  <c r="D80" i="13" s="1"/>
  <c r="C91" i="13" s="1"/>
  <c r="C98" i="13" s="1"/>
  <c r="C105" i="13" s="1"/>
  <c r="C44" i="13"/>
  <c r="C72" i="13" s="1"/>
  <c r="C31" i="13"/>
  <c r="C19" i="13"/>
  <c r="B123" i="12"/>
  <c r="C122" i="12"/>
  <c r="C81" i="12"/>
  <c r="C69" i="12"/>
  <c r="C68" i="12"/>
  <c r="C59" i="12"/>
  <c r="D67" i="12" s="1"/>
  <c r="D80" i="12" s="1"/>
  <c r="C91" i="12" s="1"/>
  <c r="C98" i="12" s="1"/>
  <c r="C105" i="12" s="1"/>
  <c r="C51" i="12"/>
  <c r="C49" i="12"/>
  <c r="C55" i="12" s="1"/>
  <c r="C62" i="12" s="1"/>
  <c r="C44" i="12"/>
  <c r="C72" i="12" s="1"/>
  <c r="C31" i="12"/>
  <c r="C19" i="12"/>
  <c r="C92" i="12" s="1"/>
  <c r="C81" i="5"/>
  <c r="C81" i="4"/>
  <c r="C69" i="5"/>
  <c r="C68" i="5"/>
  <c r="C51" i="4"/>
  <c r="C55" i="4"/>
  <c r="H32" i="11" l="1"/>
  <c r="C106" i="15" s="1"/>
  <c r="C92" i="14"/>
  <c r="C94" i="12"/>
  <c r="C100" i="12" s="1"/>
  <c r="C74" i="14"/>
  <c r="C55" i="14"/>
  <c r="C62" i="14" s="1"/>
  <c r="C21" i="14"/>
  <c r="C22" i="14" s="1"/>
  <c r="C74" i="15"/>
  <c r="C87" i="15"/>
  <c r="C87" i="14"/>
  <c r="C74" i="13"/>
  <c r="C87" i="12"/>
  <c r="C20" i="12"/>
  <c r="C21" i="12" s="1"/>
  <c r="C22" i="12" s="1"/>
  <c r="C87" i="13"/>
  <c r="C74" i="12"/>
  <c r="C20" i="13"/>
  <c r="C21" i="13" s="1"/>
  <c r="C122" i="5"/>
  <c r="C87" i="5"/>
  <c r="C68" i="4"/>
  <c r="C69" i="4"/>
  <c r="C94" i="14" l="1"/>
  <c r="C100" i="14" s="1"/>
  <c r="C107" i="13"/>
  <c r="C107" i="5"/>
  <c r="C107" i="4"/>
  <c r="C107" i="12"/>
  <c r="C107" i="14"/>
  <c r="D71" i="14"/>
  <c r="C128" i="14"/>
  <c r="D70" i="14"/>
  <c r="D30" i="14"/>
  <c r="D86" i="14"/>
  <c r="D73" i="14"/>
  <c r="D29" i="14"/>
  <c r="D69" i="14"/>
  <c r="D68" i="14"/>
  <c r="D72" i="14"/>
  <c r="C51" i="15"/>
  <c r="C62" i="15"/>
  <c r="C21" i="15"/>
  <c r="C22" i="15"/>
  <c r="D86" i="12"/>
  <c r="D69" i="12"/>
  <c r="D30" i="12"/>
  <c r="D73" i="12"/>
  <c r="D29" i="12"/>
  <c r="D71" i="12"/>
  <c r="C128" i="12"/>
  <c r="D70" i="12"/>
  <c r="D68" i="12"/>
  <c r="D72" i="12"/>
  <c r="C51" i="13"/>
  <c r="C22" i="13"/>
  <c r="D31" i="12" l="1"/>
  <c r="C60" i="12" s="1"/>
  <c r="D31" i="14"/>
  <c r="C60" i="14" s="1"/>
  <c r="C127" i="15"/>
  <c r="D29" i="15"/>
  <c r="D70" i="15"/>
  <c r="D86" i="15"/>
  <c r="D73" i="15"/>
  <c r="C92" i="15"/>
  <c r="D71" i="15"/>
  <c r="D30" i="15"/>
  <c r="D69" i="15"/>
  <c r="D44" i="14"/>
  <c r="C61" i="14" s="1"/>
  <c r="D74" i="14"/>
  <c r="D73" i="13"/>
  <c r="C92" i="13"/>
  <c r="D71" i="13"/>
  <c r="D30" i="13"/>
  <c r="D70" i="13"/>
  <c r="D86" i="13"/>
  <c r="C128" i="13"/>
  <c r="D29" i="13"/>
  <c r="C55" i="13"/>
  <c r="C62" i="13" s="1"/>
  <c r="D44" i="12"/>
  <c r="C61" i="12" s="1"/>
  <c r="C63" i="12" s="1"/>
  <c r="C129" i="12" s="1"/>
  <c r="D74" i="12"/>
  <c r="H5" i="11"/>
  <c r="C94" i="13" l="1"/>
  <c r="C100" i="13" s="1"/>
  <c r="C63" i="14"/>
  <c r="C129" i="14" s="1"/>
  <c r="C130" i="14"/>
  <c r="D44" i="15"/>
  <c r="C61" i="15" s="1"/>
  <c r="D31" i="15"/>
  <c r="C60" i="15" s="1"/>
  <c r="D72" i="15"/>
  <c r="D68" i="15"/>
  <c r="D74" i="15" s="1"/>
  <c r="D31" i="13"/>
  <c r="C60" i="13" s="1"/>
  <c r="D68" i="13"/>
  <c r="D72" i="13"/>
  <c r="D69" i="13"/>
  <c r="D44" i="13"/>
  <c r="C61" i="13" s="1"/>
  <c r="C63" i="13" s="1"/>
  <c r="C129" i="13" s="1"/>
  <c r="C130" i="12"/>
  <c r="D74" i="13" l="1"/>
  <c r="C63" i="15"/>
  <c r="C128" i="15" s="1"/>
  <c r="C129" i="15"/>
  <c r="D87" i="12"/>
  <c r="C99" i="12" s="1"/>
  <c r="C101" i="12" s="1"/>
  <c r="C131" i="12" s="1"/>
  <c r="C130" i="13"/>
  <c r="C87" i="4"/>
  <c r="C44" i="5"/>
  <c r="C20" i="5"/>
  <c r="D87" i="14" l="1"/>
  <c r="C99" i="14" s="1"/>
  <c r="C101" i="14" s="1"/>
  <c r="C131" i="14" s="1"/>
  <c r="D87" i="13"/>
  <c r="C99" i="13" s="1"/>
  <c r="C101" i="13" s="1"/>
  <c r="C131" i="13" s="1"/>
  <c r="C51" i="5"/>
  <c r="C72" i="5"/>
  <c r="C74" i="5" s="1"/>
  <c r="C31" i="5"/>
  <c r="C21" i="5"/>
  <c r="C22" i="5" s="1"/>
  <c r="C122" i="4"/>
  <c r="D87" i="15" l="1"/>
  <c r="C98" i="15" s="1"/>
  <c r="C100" i="15" s="1"/>
  <c r="C130" i="15" s="1"/>
  <c r="C92" i="5"/>
  <c r="C94" i="5" s="1"/>
  <c r="D86" i="5"/>
  <c r="D71" i="5"/>
  <c r="D70" i="5"/>
  <c r="D73" i="5"/>
  <c r="C44" i="4"/>
  <c r="C19" i="4"/>
  <c r="H11" i="11"/>
  <c r="H10" i="11"/>
  <c r="H9" i="11"/>
  <c r="H8" i="11"/>
  <c r="H7" i="11"/>
  <c r="H6" i="11"/>
  <c r="H14" i="11" l="1"/>
  <c r="C106" i="5" s="1"/>
  <c r="C20" i="4"/>
  <c r="C21" i="4" s="1"/>
  <c r="C22" i="4" s="1"/>
  <c r="C92" i="4"/>
  <c r="C94" i="4" s="1"/>
  <c r="C31" i="4"/>
  <c r="C72" i="4"/>
  <c r="C74" i="4" s="1"/>
  <c r="C106" i="4" l="1"/>
  <c r="C110" i="4" s="1"/>
  <c r="C105" i="15"/>
  <c r="C109" i="15" s="1"/>
  <c r="C131" i="15" s="1"/>
  <c r="C132" i="15" s="1"/>
  <c r="D114" i="15" s="1"/>
  <c r="D115" i="15" s="1"/>
  <c r="D120" i="15" s="1"/>
  <c r="C106" i="14"/>
  <c r="C110" i="14" s="1"/>
  <c r="C132" i="14" s="1"/>
  <c r="C133" i="14" s="1"/>
  <c r="D115" i="14" s="1"/>
  <c r="D116" i="14" s="1"/>
  <c r="D118" i="14" s="1"/>
  <c r="C106" i="12"/>
  <c r="C110" i="12" s="1"/>
  <c r="C132" i="12" s="1"/>
  <c r="C133" i="12" s="1"/>
  <c r="D115" i="12" s="1"/>
  <c r="D116" i="12" s="1"/>
  <c r="D121" i="12" s="1"/>
  <c r="C106" i="13"/>
  <c r="C110" i="13" s="1"/>
  <c r="C132" i="13" s="1"/>
  <c r="C133" i="13" s="1"/>
  <c r="D115" i="13" s="1"/>
  <c r="D116" i="13" s="1"/>
  <c r="D121" i="13" s="1"/>
  <c r="D86" i="4"/>
  <c r="D70" i="4"/>
  <c r="D73" i="4"/>
  <c r="D69" i="4"/>
  <c r="D72" i="4"/>
  <c r="D71" i="4"/>
  <c r="D119" i="14" l="1"/>
  <c r="D121" i="14"/>
  <c r="D119" i="13"/>
  <c r="D118" i="13"/>
  <c r="D117" i="15"/>
  <c r="D118" i="15"/>
  <c r="D118" i="12"/>
  <c r="D119" i="12"/>
  <c r="D74" i="4"/>
  <c r="D117" i="13" l="1"/>
  <c r="D122" i="13" s="1"/>
  <c r="D116" i="15"/>
  <c r="C133" i="15" s="1"/>
  <c r="C134" i="15" s="1"/>
  <c r="F17" i="20" s="1"/>
  <c r="H17" i="20" s="1"/>
  <c r="J17" i="20" s="1"/>
  <c r="K17" i="20" s="1"/>
  <c r="D117" i="14"/>
  <c r="C134" i="14" s="1"/>
  <c r="C135" i="14" s="1"/>
  <c r="F16" i="20" s="1"/>
  <c r="H16" i="20" s="1"/>
  <c r="J16" i="20" s="1"/>
  <c r="K16" i="20" s="1"/>
  <c r="D117" i="12"/>
  <c r="D122" i="12" s="1"/>
  <c r="C134" i="13" l="1"/>
  <c r="C135" i="13" s="1"/>
  <c r="F136" i="13" s="1"/>
  <c r="F135" i="15"/>
  <c r="F34" i="6"/>
  <c r="O17" i="20"/>
  <c r="D121" i="15"/>
  <c r="O16" i="20"/>
  <c r="F33" i="6"/>
  <c r="F136" i="14"/>
  <c r="D122" i="14"/>
  <c r="C134" i="12"/>
  <c r="C135" i="12" s="1"/>
  <c r="C127" i="5"/>
  <c r="B123" i="5"/>
  <c r="C110" i="5"/>
  <c r="C132" i="5" s="1"/>
  <c r="D67" i="5"/>
  <c r="D80" i="5" s="1"/>
  <c r="C55" i="5"/>
  <c r="F14" i="20" l="1"/>
  <c r="H14" i="20" s="1"/>
  <c r="O14" i="20" s="1"/>
  <c r="F136" i="12"/>
  <c r="H33" i="6"/>
  <c r="J33" i="6" s="1"/>
  <c r="K33" i="6" s="1"/>
  <c r="P33" i="6"/>
  <c r="H34" i="6"/>
  <c r="O34" i="6" s="1"/>
  <c r="P34" i="6"/>
  <c r="F15" i="20"/>
  <c r="H15" i="20" s="1"/>
  <c r="O15" i="20" s="1"/>
  <c r="F29" i="6"/>
  <c r="F28" i="6"/>
  <c r="C100" i="5"/>
  <c r="D72" i="5"/>
  <c r="D68" i="5"/>
  <c r="C91" i="5"/>
  <c r="C98" i="5" s="1"/>
  <c r="C105" i="5" s="1"/>
  <c r="C62" i="5"/>
  <c r="J14" i="20" l="1"/>
  <c r="K14" i="20" s="1"/>
  <c r="J34" i="6"/>
  <c r="K34" i="6" s="1"/>
  <c r="K35" i="6" s="1"/>
  <c r="M32" i="6"/>
  <c r="O33" i="6"/>
  <c r="H28" i="6"/>
  <c r="O28" i="6" s="1"/>
  <c r="P28" i="6"/>
  <c r="H29" i="6"/>
  <c r="J29" i="6" s="1"/>
  <c r="K29" i="6" s="1"/>
  <c r="P29" i="6"/>
  <c r="J15" i="20"/>
  <c r="K15" i="20" s="1"/>
  <c r="D30" i="5"/>
  <c r="D29" i="5"/>
  <c r="D69" i="5"/>
  <c r="D74" i="5" s="1"/>
  <c r="C128" i="5"/>
  <c r="J35" i="6" l="1"/>
  <c r="J28" i="6"/>
  <c r="K28" i="6" s="1"/>
  <c r="K30" i="6" s="1"/>
  <c r="M27" i="6"/>
  <c r="O29" i="6"/>
  <c r="D31" i="5"/>
  <c r="C60" i="5" s="1"/>
  <c r="D44" i="5"/>
  <c r="C61" i="5" s="1"/>
  <c r="D30" i="4"/>
  <c r="D29" i="4"/>
  <c r="C130" i="5"/>
  <c r="J30" i="6" l="1"/>
  <c r="C63" i="5"/>
  <c r="C62" i="4"/>
  <c r="B123" i="4"/>
  <c r="C132" i="4"/>
  <c r="C100" i="4"/>
  <c r="C59" i="4"/>
  <c r="D67" i="4" s="1"/>
  <c r="D80" i="4" s="1"/>
  <c r="C91" i="4" s="1"/>
  <c r="C98" i="4" s="1"/>
  <c r="C105" i="4" s="1"/>
  <c r="C129" i="5" l="1"/>
  <c r="C128" i="4"/>
  <c r="D87" i="5" l="1"/>
  <c r="C99" i="5" s="1"/>
  <c r="D31" i="4"/>
  <c r="C60" i="4" s="1"/>
  <c r="C130" i="4"/>
  <c r="C101" i="5" l="1"/>
  <c r="C131" i="5" s="1"/>
  <c r="C133" i="5" s="1"/>
  <c r="D115" i="5" s="1"/>
  <c r="D116" i="5" l="1"/>
  <c r="D118" i="5" s="1"/>
  <c r="D121" i="5" l="1"/>
  <c r="D119" i="5"/>
  <c r="D117" i="5" l="1"/>
  <c r="D122" i="5" s="1"/>
  <c r="C61" i="4"/>
  <c r="C63" i="4" s="1"/>
  <c r="C134" i="5" l="1"/>
  <c r="C135" i="5" s="1"/>
  <c r="F7" i="6" s="1"/>
  <c r="C129" i="4"/>
  <c r="H7" i="6" l="1"/>
  <c r="J7" i="6" s="1"/>
  <c r="K7" i="6" s="1"/>
  <c r="P7" i="6"/>
  <c r="F13" i="20"/>
  <c r="H13" i="20" s="1"/>
  <c r="J13" i="20" s="1"/>
  <c r="K13" i="20" s="1"/>
  <c r="F136" i="5"/>
  <c r="F11" i="20"/>
  <c r="H11" i="20" s="1"/>
  <c r="J11" i="20" s="1"/>
  <c r="K11" i="20" s="1"/>
  <c r="F7" i="20"/>
  <c r="H7" i="20" s="1"/>
  <c r="J7" i="20" s="1"/>
  <c r="K7" i="20" s="1"/>
  <c r="F22" i="6"/>
  <c r="F9" i="20"/>
  <c r="H9" i="20" s="1"/>
  <c r="J9" i="20" s="1"/>
  <c r="K9" i="20" s="1"/>
  <c r="F17" i="6"/>
  <c r="F12" i="6"/>
  <c r="D87" i="4"/>
  <c r="C99" i="4" s="1"/>
  <c r="C101" i="4" s="1"/>
  <c r="C131" i="4" s="1"/>
  <c r="C133" i="4" s="1"/>
  <c r="D115" i="4" s="1"/>
  <c r="D116" i="4" s="1"/>
  <c r="O7" i="6" l="1"/>
  <c r="H12" i="6"/>
  <c r="J12" i="6" s="1"/>
  <c r="K12" i="6" s="1"/>
  <c r="P12" i="6"/>
  <c r="H22" i="6"/>
  <c r="O22" i="6" s="1"/>
  <c r="P22" i="6"/>
  <c r="H17" i="6"/>
  <c r="O17" i="6" s="1"/>
  <c r="P17" i="6"/>
  <c r="O7" i="20"/>
  <c r="O13" i="20"/>
  <c r="O9" i="20"/>
  <c r="O11" i="20"/>
  <c r="D118" i="4"/>
  <c r="D121" i="4"/>
  <c r="D119" i="4"/>
  <c r="J22" i="6" l="1"/>
  <c r="K22" i="6" s="1"/>
  <c r="J17" i="6"/>
  <c r="K17" i="6" s="1"/>
  <c r="O12" i="6"/>
  <c r="D117" i="4"/>
  <c r="D122" i="4" l="1"/>
  <c r="C134" i="4"/>
  <c r="C135" i="4" l="1"/>
  <c r="F136" i="4" s="1"/>
  <c r="F10" i="20" l="1"/>
  <c r="H10" i="20" s="1"/>
  <c r="F6" i="20"/>
  <c r="H6" i="20" s="1"/>
  <c r="M5" i="20" s="1"/>
  <c r="F12" i="20"/>
  <c r="H12" i="20" s="1"/>
  <c r="F8" i="20"/>
  <c r="H8" i="20" s="1"/>
  <c r="F16" i="6"/>
  <c r="F11" i="6"/>
  <c r="F6" i="6"/>
  <c r="F21" i="6"/>
  <c r="H21" i="6" l="1"/>
  <c r="M20" i="6" s="1"/>
  <c r="P21" i="6"/>
  <c r="H6" i="6"/>
  <c r="O6" i="6" s="1"/>
  <c r="P6" i="6"/>
  <c r="H11" i="6"/>
  <c r="M10" i="6" s="1"/>
  <c r="P11" i="6"/>
  <c r="H16" i="6"/>
  <c r="M15" i="6" s="1"/>
  <c r="P16" i="6"/>
  <c r="J8" i="20"/>
  <c r="K8" i="20" s="1"/>
  <c r="O8" i="20"/>
  <c r="J12" i="20"/>
  <c r="K12" i="20" s="1"/>
  <c r="O12" i="20"/>
  <c r="O6" i="20"/>
  <c r="J6" i="20"/>
  <c r="J10" i="20"/>
  <c r="K10" i="20" s="1"/>
  <c r="O10" i="20"/>
  <c r="J21" i="6" l="1"/>
  <c r="K21" i="6" s="1"/>
  <c r="K23" i="6" s="1"/>
  <c r="O21" i="6"/>
  <c r="J6" i="6"/>
  <c r="J8" i="6" s="1"/>
  <c r="O11" i="6"/>
  <c r="J16" i="6"/>
  <c r="K16" i="6" s="1"/>
  <c r="K18" i="6" s="1"/>
  <c r="J11" i="6"/>
  <c r="K11" i="6" s="1"/>
  <c r="K13" i="6" s="1"/>
  <c r="O16" i="6"/>
  <c r="J18" i="20"/>
  <c r="K20" i="20" s="1"/>
  <c r="N20" i="20" s="1"/>
  <c r="K6" i="20"/>
  <c r="K18" i="20" s="1"/>
  <c r="K21" i="20" s="1"/>
  <c r="N21" i="20" s="1"/>
  <c r="J23" i="6" l="1"/>
  <c r="K6" i="6"/>
  <c r="K8" i="6" s="1"/>
  <c r="K25" i="6" s="1"/>
  <c r="J18" i="6"/>
  <c r="J13" i="6"/>
  <c r="J25" i="6" l="1"/>
  <c r="N37" i="6" s="1"/>
  <c r="N38" i="6"/>
  <c r="F130" i="14"/>
  <c r="F119" i="4"/>
</calcChain>
</file>

<file path=xl/sharedStrings.xml><?xml version="1.0" encoding="utf-8"?>
<sst xmlns="http://schemas.openxmlformats.org/spreadsheetml/2006/main" count="1420" uniqueCount="269">
  <si>
    <t>Total</t>
  </si>
  <si>
    <t>SEBRAE</t>
  </si>
  <si>
    <t>INCRA</t>
  </si>
  <si>
    <t>FGTS</t>
  </si>
  <si>
    <t>Insumos Diversos</t>
  </si>
  <si>
    <t>Custos Indiretos, Tributos e Lucro</t>
  </si>
  <si>
    <t>Descrição</t>
  </si>
  <si>
    <t>Módulo 1 - Composição da Remuneração</t>
  </si>
  <si>
    <t>Composição da Remuneração</t>
  </si>
  <si>
    <t>A</t>
  </si>
  <si>
    <t>Salário-Base</t>
  </si>
  <si>
    <t>B</t>
  </si>
  <si>
    <t>C</t>
  </si>
  <si>
    <t>D</t>
  </si>
  <si>
    <t>E</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</si>
  <si>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</si>
  <si>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</si>
  <si>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</si>
  <si>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</si>
  <si>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</si>
  <si>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</si>
  <si>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</si>
  <si>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Submódulo 2.2 - Encargos Previdenciários (GPS), Fundo de Garantia por Tempo de Serviço (FGTS) e outras contribuições.</t>
  </si>
  <si>
    <t>2.2</t>
  </si>
  <si>
    <t>GPS, FGTS e outras contribuições</t>
  </si>
  <si>
    <t>Percentual (%)</t>
  </si>
  <si>
    <t>INSS</t>
  </si>
  <si>
    <t>Salário Educação</t>
  </si>
  <si>
    <t>SESC ou SESI</t>
  </si>
  <si>
    <t>SENAI - SENAC</t>
  </si>
  <si>
    <t>H</t>
  </si>
  <si>
    <t xml:space="preserve">Total </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</si>
  <si>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</si>
  <si>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</si>
  <si>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</si>
  <si>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</si>
  <si>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</si>
  <si>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</si>
  <si>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</si>
  <si>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</si>
  <si>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</si>
  <si>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</si>
  <si>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</si>
  <si>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</si>
  <si>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</si>
  <si>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</si>
  <si>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</si>
  <si>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</si>
  <si>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</si>
  <si>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Licença-Paternidade</t>
  </si>
  <si>
    <t>Ausência por acidente de trabalho</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</si>
  <si>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</si>
  <si>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</si>
  <si>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</si>
  <si>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</si>
  <si>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</si>
  <si>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</si>
  <si>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</si>
  <si>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</si>
  <si>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</si>
  <si>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</si>
  <si>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C.2. Tributos Estaduais (especificar)</t>
  </si>
  <si>
    <t>2. QUADRO-RESUMO DO CUSTO POR EMPREGADO</t>
  </si>
  <si>
    <t>Mão de obra vinculada à execução contratual (valor por empregado)</t>
  </si>
  <si>
    <t>Subtotal (A + B +C+ D+E)</t>
  </si>
  <si>
    <t>Módulo 6 – Custos Indiretos, Tributos e Lucro</t>
  </si>
  <si>
    <t xml:space="preserve">Valor Total por Empregado </t>
  </si>
  <si>
    <t>Intervalo para repouso e alimentação</t>
  </si>
  <si>
    <t xml:space="preserve">Adicional de Periculosidade </t>
  </si>
  <si>
    <t>13º (décimo terceiro) Salário (rem/12) - 8,33%</t>
  </si>
  <si>
    <t xml:space="preserve">% </t>
  </si>
  <si>
    <t>%</t>
  </si>
  <si>
    <t xml:space="preserve">Fórmula Tributo </t>
  </si>
  <si>
    <t>Nº Processo.</t>
  </si>
  <si>
    <t>Licitação nº</t>
  </si>
  <si>
    <t>Discriminação dos Serviços (Dados referente à contratação).</t>
  </si>
  <si>
    <t>Data da apresentação da Proposta (dia/Mês/Ano).</t>
  </si>
  <si>
    <t>Município/UF.</t>
  </si>
  <si>
    <t>Ano, Acordo, Convenção ou Sentença Normativa em Dissídio Coletivo.</t>
  </si>
  <si>
    <t>Nº de Meses de Execução Contratual.</t>
  </si>
  <si>
    <t>Identificação do Serviço.</t>
  </si>
  <si>
    <t>Tipo de Serviço</t>
  </si>
  <si>
    <t>Unidade de Medida</t>
  </si>
  <si>
    <t>Quantidade total a contratar (em função da unidade de medida).</t>
  </si>
  <si>
    <t xml:space="preserve">DSEI </t>
  </si>
  <si>
    <t xml:space="preserve">Contrato nº </t>
  </si>
  <si>
    <t xml:space="preserve">SAT - Seguro Acidente Trabalho </t>
  </si>
  <si>
    <t xml:space="preserve">Ausência por doença </t>
  </si>
  <si>
    <t xml:space="preserve">Custos Indiretos (CUSTO MÃO OBRA VINCULADA RESUMO +PERC) </t>
  </si>
  <si>
    <t xml:space="preserve">Lucro (CUSTOS INDIRETOS + A+B+C+D+E) APLICA LUCRO </t>
  </si>
  <si>
    <t xml:space="preserve">Férias e 1/3 constitucional de férias </t>
  </si>
  <si>
    <t>SÃO LUIS/MA</t>
  </si>
  <si>
    <t>Posto</t>
  </si>
  <si>
    <t xml:space="preserve">Assistência médica e família </t>
  </si>
  <si>
    <t>Seguro de vida, invalidez e funeral</t>
  </si>
  <si>
    <t>Adicional Noturno</t>
  </si>
  <si>
    <t>Hora noturna reduzida</t>
  </si>
  <si>
    <t>VALOR</t>
  </si>
  <si>
    <r>
      <t xml:space="preserve">C.1.1 Tributos Federais (especificar) - </t>
    </r>
    <r>
      <rPr>
        <b/>
        <sz val="12"/>
        <color theme="1"/>
        <rFont val="Times New Roman"/>
        <family val="1"/>
      </rPr>
      <t xml:space="preserve">PIS 0,65% </t>
    </r>
    <r>
      <rPr>
        <sz val="12"/>
        <color theme="1"/>
        <rFont val="Times New Roman"/>
        <family val="1"/>
      </rPr>
      <t xml:space="preserve">(1-((Pis 0,65% + Cofins3% + Iss 5%)/1) = 1-(8,65%/1) = </t>
    </r>
    <r>
      <rPr>
        <b/>
        <sz val="12"/>
        <color theme="1"/>
        <rFont val="Times New Roman"/>
        <family val="1"/>
      </rPr>
      <t>0,9135</t>
    </r>
  </si>
  <si>
    <r>
      <t xml:space="preserve">C.1.2 Tributos Federais (especificar) -  </t>
    </r>
    <r>
      <rPr>
        <b/>
        <sz val="12"/>
        <color theme="1"/>
        <rFont val="Times New Roman"/>
        <family val="1"/>
      </rPr>
      <t>COFINS - 3%</t>
    </r>
    <r>
      <rPr>
        <sz val="12"/>
        <color theme="1"/>
        <rFont val="Times New Roman"/>
        <family val="1"/>
      </rPr>
      <t xml:space="preserve"> - (1-((Pis 0,65% + Cofins3% + Iss 5%)/1) = 1-(8,65%/1) = </t>
    </r>
    <r>
      <rPr>
        <b/>
        <sz val="12"/>
        <color theme="1"/>
        <rFont val="Times New Roman"/>
        <family val="1"/>
      </rPr>
      <t>0,9135</t>
    </r>
  </si>
  <si>
    <r>
      <t>C.3. Tributos Municipais (especificar) -  (</t>
    </r>
    <r>
      <rPr>
        <b/>
        <sz val="12"/>
        <color theme="1"/>
        <rFont val="Times New Roman"/>
        <family val="1"/>
      </rPr>
      <t xml:space="preserve">ISS </t>
    </r>
    <r>
      <rPr>
        <sz val="12"/>
        <color theme="1"/>
        <rFont val="Times New Roman"/>
        <family val="1"/>
      </rPr>
      <t xml:space="preserve">- &lt; = 5%) = (1-((Pis 0,65% + Cofins 3% + Iss 5%)/1) = 1-(8,65%/1) = </t>
    </r>
    <r>
      <rPr>
        <b/>
        <sz val="12"/>
        <color theme="1"/>
        <rFont val="Times New Roman"/>
        <family val="1"/>
      </rPr>
      <t>0,9135</t>
    </r>
  </si>
  <si>
    <t xml:space="preserve">Módulo 1 - Composição da Remuneração </t>
  </si>
  <si>
    <t>QUADRO RESUMO</t>
  </si>
  <si>
    <t>Valor proposto por posto</t>
  </si>
  <si>
    <t>Quant. De Postos</t>
  </si>
  <si>
    <t>Valor Total Mensal</t>
  </si>
  <si>
    <t xml:space="preserve">Afastamento Maternidade (DSEI Módulo 4.3 separado) - </t>
  </si>
  <si>
    <t>Item</t>
  </si>
  <si>
    <t>Revólver calibre 38</t>
  </si>
  <si>
    <t>Munição calibre 38</t>
  </si>
  <si>
    <t>Colete balístico</t>
  </si>
  <si>
    <t>Capa para colete balístico</t>
  </si>
  <si>
    <t>Cinto com coldre e porta munição</t>
  </si>
  <si>
    <t>Cassetete de borracha e porta cassetete</t>
  </si>
  <si>
    <t>Lanterna recarregável com pilha ou bateria</t>
  </si>
  <si>
    <t>Rádio portátil (HT)</t>
  </si>
  <si>
    <t>VALOR TOTAL MENSAL</t>
  </si>
  <si>
    <t>UNIFORME</t>
  </si>
  <si>
    <t>ITEM</t>
  </si>
  <si>
    <t>DESCRIÇÃO</t>
  </si>
  <si>
    <t>UNIDADE DE MEDIDA</t>
  </si>
  <si>
    <t>QUANTIDADE POR PROFISSIONAL</t>
  </si>
  <si>
    <t>VALOR UNITÁRIO</t>
  </si>
  <si>
    <t>VIDA ÚTIL (MESES)</t>
  </si>
  <si>
    <t>VALOR TOTAL</t>
  </si>
  <si>
    <t>Calça</t>
  </si>
  <si>
    <t>Cinto de nylon</t>
  </si>
  <si>
    <t>Unidade</t>
  </si>
  <si>
    <t>Par</t>
  </si>
  <si>
    <t>Meias</t>
  </si>
  <si>
    <t>Crachá de Identificação</t>
  </si>
  <si>
    <t>Capa de chuva</t>
  </si>
  <si>
    <t>Adicional de Periculosidade - 30%</t>
  </si>
  <si>
    <t>Boné com emblema de identificação da empresa</t>
  </si>
  <si>
    <t>Coturno</t>
  </si>
  <si>
    <t>Posto de Vigilância Armada 12x36h noturnas, de segunda-feira a domingo</t>
  </si>
  <si>
    <t>Posto de Vigilância Armada 12x36h diurnas de segunda-feira a domingo</t>
  </si>
  <si>
    <t>Transporte (V. Unit. = 4,20 x 2 x 15 dias - 6%)</t>
  </si>
  <si>
    <t>Afastamento Maternidade</t>
  </si>
  <si>
    <t>AO
ESTADO DO MARANHÃO
MINISTÉRIO PÚBLICO
PROCURADORIA-GERAL DE JUSTIÇA
COMISSÃO PERMANENTE DE LICITAÇÃO
PREGÃO ELETRÔNICO Nº 23/2023
PROCESSO ADMINISTRATIVO Nº 18976/2022</t>
  </si>
  <si>
    <t>PROCURADORIA-GERAL DE JUSTIÇA</t>
  </si>
  <si>
    <t>18976/2022</t>
  </si>
  <si>
    <t>23/2023</t>
  </si>
  <si>
    <t>MA000055/2023</t>
  </si>
  <si>
    <t xml:space="preserve">13º (décimo terceiro) Salário (rem/12) </t>
  </si>
  <si>
    <t>Férias e Adicional de Férias</t>
  </si>
  <si>
    <t>Prêmio por Assiduidade</t>
  </si>
  <si>
    <r>
      <t xml:space="preserve">PLANILHA DE CUSTOS E FORMAÇÃO DE PREÇOS
</t>
    </r>
    <r>
      <rPr>
        <b/>
        <sz val="18"/>
        <color theme="1"/>
        <rFont val="Times New Roman"/>
        <family val="1"/>
      </rPr>
      <t>A - DIURNO SÃO LUIS/MA</t>
    </r>
  </si>
  <si>
    <r>
      <t xml:space="preserve">PLANILHA DE CUSTOS E FORMAÇÃO DE PREÇOS
</t>
    </r>
    <r>
      <rPr>
        <b/>
        <sz val="18"/>
        <color theme="1"/>
        <rFont val="Times New Roman"/>
        <family val="1"/>
      </rPr>
      <t>A - NOTURNO SÃO LUIS/MA</t>
    </r>
  </si>
  <si>
    <r>
      <t xml:space="preserve">PLANILHA DE CUSTOS E FORMAÇÃO DE PREÇOS
</t>
    </r>
    <r>
      <rPr>
        <b/>
        <sz val="18"/>
        <color theme="1"/>
        <rFont val="Times New Roman"/>
        <family val="1"/>
      </rPr>
      <t>A - DIURNO SÃO JOSÉ DE RIBAMAR/MA</t>
    </r>
  </si>
  <si>
    <t>SÃO JOSÉ DE RIBAMAR/MA</t>
  </si>
  <si>
    <r>
      <t xml:space="preserve">PLANILHA DE CUSTOS E FORMAÇÃO DE PREÇOS
</t>
    </r>
    <r>
      <rPr>
        <b/>
        <sz val="18"/>
        <color theme="1"/>
        <rFont val="Times New Roman"/>
        <family val="1"/>
      </rPr>
      <t>A - NOTURNO SÃO JOSÉ DE RIBAMAR/MA</t>
    </r>
  </si>
  <si>
    <r>
      <t xml:space="preserve">PLANILHA DE CUSTOS E FORMAÇÃO DE PREÇOS
</t>
    </r>
    <r>
      <rPr>
        <b/>
        <sz val="18"/>
        <color theme="1"/>
        <rFont val="Times New Roman"/>
        <family val="1"/>
      </rPr>
      <t>A - NOTURNO PAÇO DO LUMIAR/MA</t>
    </r>
  </si>
  <si>
    <t>PAÇO DO LUMIAR/MA</t>
  </si>
  <si>
    <t>Cidade</t>
  </si>
  <si>
    <t>Endereço</t>
  </si>
  <si>
    <t>Prédio Sede - PGJ</t>
  </si>
  <si>
    <t>Av. Prof. Carlos Cunha, s/n,
Jaracati, São Luís</t>
  </si>
  <si>
    <t>Posto de 12 horas noturnas de segunda a
domingo, em turnos de
12x36 horas.</t>
  </si>
  <si>
    <t>Posto de 12 horas diurnas, de segunda a domingo, em turnos de 12x36 horas.</t>
  </si>
  <si>
    <t>Valor por vigilante</t>
  </si>
  <si>
    <t>Vigilantes por posto</t>
  </si>
  <si>
    <t>Valor total anual</t>
  </si>
  <si>
    <t>VALOR MENSAL / ANUAL DOS SERVIÇOS</t>
  </si>
  <si>
    <t>PROMOCAP</t>
  </si>
  <si>
    <t>Av. Prof. Carlos
Cunha, s/n, Jaracati, São Luís</t>
  </si>
  <si>
    <t>Centro Cultural</t>
  </si>
  <si>
    <t>Rua Osvaldo Cruz,
1396, Centro,
São Luís</t>
  </si>
  <si>
    <t>Almoxarifado</t>
  </si>
  <si>
    <t>Estrada da Vitória,
2.409, Monte Castelo, 
São Luís</t>
  </si>
  <si>
    <t>VALOR MENSAL / ANUAL DOS SERVIÇOS SÃO LUIS / MA</t>
  </si>
  <si>
    <t>VALOR MENSAL / ANUAL DOS SERVIÇOS SÃO JOSÉ DE RIBAMAR</t>
  </si>
  <si>
    <t>PJ São José de Ribamar</t>
  </si>
  <si>
    <t>Rua José Maria Santiago, s/n, esquina com a 28 de julho</t>
  </si>
  <si>
    <t>PJ Paço do Lumiar</t>
  </si>
  <si>
    <t>Av. 13, Quadra
145, 05, Maiobão</t>
  </si>
  <si>
    <t>VALOR MENSAL / ANUAL DOS SERVIÇOS PAÇO DO LUMIAR / MA</t>
  </si>
  <si>
    <t>VALOR MENSAL DOS SERVIÇOS</t>
  </si>
  <si>
    <t xml:space="preserve">VALOR ANUAL DOS SERVIÇOS </t>
  </si>
  <si>
    <t>camisas de mangas compridas ou curtas;</t>
  </si>
  <si>
    <t>2</t>
  </si>
  <si>
    <t>3</t>
  </si>
  <si>
    <t xml:space="preserve">QUANTIDADE </t>
  </si>
  <si>
    <t>distintivo tipo broche</t>
  </si>
  <si>
    <t>Livro de Ocorrencia</t>
  </si>
  <si>
    <t>Apito</t>
  </si>
  <si>
    <t>Cordão de Apito</t>
  </si>
  <si>
    <t>VALOR TOTAL MENSAL POR FUNCIONÁRIO (QUANTIDADE DE FUNC POR POSTO)</t>
  </si>
  <si>
    <t>MEMÓRIA DE CÁLCULO</t>
  </si>
  <si>
    <t>REMUNERAÇÃO</t>
  </si>
  <si>
    <t xml:space="preserve">         DESCRIÇÃO</t>
  </si>
  <si>
    <t>BENEFICIOS MENSAIS</t>
  </si>
  <si>
    <t>VALE TRANSPORTE</t>
  </si>
  <si>
    <t>VALE ALIMENTAÇÃO</t>
  </si>
  <si>
    <t>SEGURO D VIDA, INVALIDEZ, FUNERAL</t>
  </si>
  <si>
    <t xml:space="preserve">PLANO DE SAÚDE </t>
  </si>
  <si>
    <t>MÓDULO 2: ENCARGOS</t>
  </si>
  <si>
    <t xml:space="preserve">2.1  13º Salário </t>
  </si>
  <si>
    <t>(%)</t>
  </si>
  <si>
    <r>
      <t xml:space="preserve">A </t>
    </r>
    <r>
      <rPr>
        <sz val="12"/>
        <color indexed="10"/>
        <rFont val="Arial Narrow"/>
        <family val="2"/>
      </rPr>
      <t xml:space="preserve">- 13º Salário </t>
    </r>
    <r>
      <rPr>
        <sz val="12"/>
        <rFont val="Arial Narrow"/>
        <family val="2"/>
      </rPr>
      <t xml:space="preserve">- Gratificação de Natal, instituída pela Lei nº 4.090, de 13 de julho de 1962. A provisão mensal representa 1/12 da folha para que ao final do período complete um salário. </t>
    </r>
  </si>
  <si>
    <t xml:space="preserve">Total   </t>
  </si>
  <si>
    <t>2.2 Encargos Previdenciários (GPS), Fundo de Garantia por Tempo de Serviço (FGTS) e outras contribuições.</t>
  </si>
  <si>
    <r>
      <t>A -</t>
    </r>
    <r>
      <rPr>
        <sz val="12"/>
        <color indexed="10"/>
        <rFont val="Arial Narrow"/>
        <family val="2"/>
      </rPr>
      <t xml:space="preserve"> INSS </t>
    </r>
    <r>
      <rPr>
        <sz val="12"/>
        <rFont val="Arial Narrow"/>
        <family val="2"/>
      </rPr>
      <t>–</t>
    </r>
    <r>
      <rPr>
        <sz val="12"/>
        <color indexed="10"/>
        <rFont val="Arial Narrow"/>
        <family val="2"/>
      </rPr>
      <t xml:space="preserve"> </t>
    </r>
    <r>
      <rPr>
        <sz val="12"/>
        <rFont val="Arial Narrow"/>
        <family val="2"/>
      </rPr>
      <t>Conforme o artigo 22, inciso I, da Lei 8.212/91, empresa custeia 20%.</t>
    </r>
  </si>
  <si>
    <r>
      <t xml:space="preserve">B </t>
    </r>
    <r>
      <rPr>
        <sz val="12"/>
        <color indexed="10"/>
        <rFont val="Arial Narrow"/>
        <family val="2"/>
      </rPr>
      <t xml:space="preserve">- Salário Educação </t>
    </r>
    <r>
      <rPr>
        <sz val="12"/>
        <rFont val="Arial Narrow"/>
        <family val="2"/>
      </rPr>
      <t>– A prestadora de serviços contribui com 2,5%, por determinação do art. 15, da Lei nº 9.424/96; do art. 2º do Decreto nº 3.142/99; e art. 212, § 5º da CF.</t>
    </r>
  </si>
  <si>
    <r>
      <t xml:space="preserve">C </t>
    </r>
    <r>
      <rPr>
        <sz val="12"/>
        <color indexed="10"/>
        <rFont val="Arial Narrow"/>
        <family val="2"/>
      </rPr>
      <t>- Seguro Acidente do Trabalho</t>
    </r>
    <r>
      <rPr>
        <sz val="12"/>
        <rFont val="Arial Narrow"/>
        <family val="2"/>
      </rPr>
      <t xml:space="preserve"> </t>
    </r>
    <r>
      <rPr>
        <sz val="12"/>
        <color indexed="10"/>
        <rFont val="Arial Narrow"/>
        <family val="2"/>
      </rPr>
      <t xml:space="preserve">- SAT </t>
    </r>
    <r>
      <rPr>
        <sz val="12"/>
        <rFont val="Arial Narrow"/>
        <family val="2"/>
      </rPr>
      <t>(FAP x RAT)</t>
    </r>
  </si>
  <si>
    <r>
      <t xml:space="preserve">D </t>
    </r>
    <r>
      <rPr>
        <sz val="12"/>
        <color indexed="10"/>
        <rFont val="Arial Narrow"/>
        <family val="2"/>
      </rPr>
      <t xml:space="preserve">- SESI/SESC </t>
    </r>
    <r>
      <rPr>
        <sz val="12"/>
        <rFont val="Arial Narrow"/>
        <family val="2"/>
      </rPr>
      <t>– Conforme o artigo 30 da Lei n. 8.036/90</t>
    </r>
  </si>
  <si>
    <r>
      <t xml:space="preserve">E </t>
    </r>
    <r>
      <rPr>
        <sz val="12"/>
        <color indexed="10"/>
        <rFont val="Arial Narrow"/>
        <family val="2"/>
      </rPr>
      <t xml:space="preserve">- SENAI /SENAC </t>
    </r>
    <r>
      <rPr>
        <sz val="12"/>
        <rFont val="Arial Narrow"/>
        <family val="2"/>
      </rPr>
      <t>– O contribuinte arca com 1%, em obediência ao Decreto-Lei nº 2.318/86.</t>
    </r>
  </si>
  <si>
    <r>
      <t>F -</t>
    </r>
    <r>
      <rPr>
        <sz val="12"/>
        <color indexed="10"/>
        <rFont val="Arial Narrow"/>
        <family val="2"/>
      </rPr>
      <t xml:space="preserve"> SEBRAE –</t>
    </r>
    <r>
      <rPr>
        <sz val="12"/>
        <rFont val="Arial Narrow"/>
        <family val="2"/>
      </rPr>
      <t xml:space="preserve"> O empregador, para atender à Lei nº 8.029/90, contribui com 0,6% sobre a folha de pagamento.</t>
    </r>
  </si>
  <si>
    <r>
      <rPr>
        <b/>
        <sz val="12"/>
        <color indexed="10"/>
        <rFont val="Arial Narrow"/>
        <family val="2"/>
      </rPr>
      <t>G</t>
    </r>
    <r>
      <rPr>
        <sz val="12"/>
        <color indexed="10"/>
        <rFont val="Arial Narrow"/>
        <family val="2"/>
      </rPr>
      <t xml:space="preserve"> - INCRA</t>
    </r>
    <r>
      <rPr>
        <sz val="12"/>
        <rFont val="Arial Narrow"/>
        <family val="2"/>
      </rPr>
      <t xml:space="preserve"> – A empresa participa com 0,2%, para atendimento dos artigos 1º e 2º do Decreto-Lei nº 1.146/70.</t>
    </r>
  </si>
  <si>
    <r>
      <t xml:space="preserve">H </t>
    </r>
    <r>
      <rPr>
        <sz val="12"/>
        <color indexed="10"/>
        <rFont val="Arial Narrow"/>
        <family val="2"/>
      </rPr>
      <t xml:space="preserve">- FGTS - </t>
    </r>
    <r>
      <rPr>
        <sz val="12"/>
        <rFont val="Arial Narrow"/>
        <family val="2"/>
      </rPr>
      <t>O depósito voltou a ser de 8%, como preconiza a Lei Complementar 110/2001. O tributo está previsto no art. 7º, Inciso III, da Constituição Federal, tendo sido regulamentado pela Lei nº 8.030/90, artigo 15.</t>
    </r>
  </si>
  <si>
    <t>MÓDULOS - 3  PROVISÃO PARA RESCISÃO</t>
  </si>
  <si>
    <r>
      <t xml:space="preserve">A - </t>
    </r>
    <r>
      <rPr>
        <sz val="12"/>
        <color indexed="10"/>
        <rFont val="Arial Narrow"/>
        <family val="2"/>
      </rPr>
      <t xml:space="preserve">Aviso Prévio indenizado - </t>
    </r>
    <r>
      <rPr>
        <sz val="12"/>
        <rFont val="Arial Narrow"/>
        <family val="2"/>
      </rPr>
      <t>FUNDAMENTAÇÃO LEGAL: - Constituição Federal de 1988 (Art. 7°, inciso XXI) e CLT (Art. 477, art. 487 a 491 - Estudos CNJ – Resolução 98/2009: Aviso Prévio indenizado - Trata-se de valor devido ao empregado no caso de o empregador rescindir o contrato sem justo motivo e sem lhe conceder aviso prévio, conforme disposto no § 1º do art. 487 da CLT.</t>
    </r>
  </si>
  <si>
    <r>
      <t xml:space="preserve">B </t>
    </r>
    <r>
      <rPr>
        <sz val="12"/>
        <color indexed="10"/>
        <rFont val="Arial Narrow"/>
        <family val="2"/>
      </rPr>
      <t>- Incidência do FGTS sobre o aviso prévio indenizado. (</t>
    </r>
    <r>
      <rPr>
        <sz val="12"/>
        <rFont val="Arial Narrow"/>
        <family val="2"/>
      </rPr>
      <t>Retificado o item “B” do Submódulo 4.4 - provisão para rescisão publicado no Diário Oficial da União n° 63, Seção I, página 92, em 1° de abril de 2011.</t>
    </r>
    <r>
      <rPr>
        <sz val="12"/>
        <color indexed="10"/>
        <rFont val="Arial Narrow"/>
        <family val="2"/>
      </rPr>
      <t>)</t>
    </r>
  </si>
  <si>
    <r>
      <t>C –</t>
    </r>
    <r>
      <rPr>
        <sz val="12"/>
        <color indexed="10"/>
        <rFont val="Arial Narrow"/>
        <family val="2"/>
      </rPr>
      <t xml:space="preserve"> Multa do FGTS do aviso prévio indenizado (Multa FGTS - Rescisão sem Justa Causa:)– </t>
    </r>
    <r>
      <rPr>
        <sz val="12"/>
        <rFont val="Arial Narrow"/>
        <family val="2"/>
      </rPr>
      <t>valor da multado FGTS. 
((8% X 40%)X90%)X ((1+5/56+5/56+5/168)X100 = 3,48%</t>
    </r>
  </si>
  <si>
    <r>
      <t>D –</t>
    </r>
    <r>
      <rPr>
        <sz val="12"/>
        <color indexed="10"/>
        <rFont val="Arial Narrow"/>
        <family val="2"/>
      </rPr>
      <t xml:space="preserve"> Aviso prévio trabalhado</t>
    </r>
    <r>
      <rPr>
        <sz val="12"/>
        <rFont val="Arial Narrow"/>
        <family val="2"/>
      </rPr>
      <t xml:space="preserve"> – FUNDAMENTAÇÃO LEGAL: - Jurisprudência - TCU (Acórdão 3.006/2010 – Plenário - vide apêndice pág. 53) -  Estudos CNJ – Resolução 98/2009 - Aviso Prévio: Refere-se à indenização de sete dias corridos devida ao empregado no caso de o empregador rescindir o contrato sem justo motivo e conceder aviso prévio, conforme disposto no art. 488 da CLT. </t>
    </r>
  </si>
  <si>
    <r>
      <rPr>
        <b/>
        <sz val="12"/>
        <color indexed="10"/>
        <rFont val="Arial Narrow"/>
        <family val="2"/>
      </rPr>
      <t>E</t>
    </r>
    <r>
      <rPr>
        <sz val="12"/>
        <color indexed="10"/>
        <rFont val="Arial Narrow"/>
        <family val="2"/>
      </rPr>
      <t xml:space="preserve"> - Incidência dos encargos do submódulo 2.2 sobre aviso prévio trabalhado</t>
    </r>
  </si>
  <si>
    <r>
      <t>F–</t>
    </r>
    <r>
      <rPr>
        <sz val="12"/>
        <color indexed="10"/>
        <rFont val="Arial Narrow"/>
        <family val="2"/>
      </rPr>
      <t xml:space="preserve"> Multa do FGTS e Contribuição social sobre aviso prévio trabalhado (Multa FGTS - Rescisão sem Justa Causa:)–</t>
    </r>
    <r>
      <rPr>
        <sz val="12"/>
        <rFont val="Arial Narrow"/>
        <family val="2"/>
      </rPr>
      <t xml:space="preserve"> Prevista no art. 9º da Lei nº 7.238, de 29 de outubro de 1984, assegura ao empregado dispensado sem justa causa nos trinta dias que antecederem a convenção salarial o direito à percepção de indenização adicional equivalente a um mês de remuneração. ((1+40%X8%X1,94%) X 100) = 0,06%</t>
    </r>
  </si>
  <si>
    <t>MÓDULO 4 - COMPOSIÇÃO DO CUSTO DE REPOSIÇÃO DO PROFISSIONAL AUSENTE</t>
  </si>
  <si>
    <t>4.1 Ausências legais</t>
  </si>
  <si>
    <r>
      <t>A –</t>
    </r>
    <r>
      <rPr>
        <sz val="12"/>
        <color indexed="10"/>
        <rFont val="Arial Narrow"/>
        <family val="2"/>
      </rPr>
      <t xml:space="preserve"> Férias –  </t>
    </r>
    <r>
      <rPr>
        <sz val="12"/>
        <rFont val="Arial Narrow"/>
        <family val="2"/>
      </rPr>
      <t xml:space="preserve">Conforme artigo 7º, inciso XVII da Constituição FederalFérias </t>
    </r>
  </si>
  <si>
    <r>
      <t xml:space="preserve">B </t>
    </r>
    <r>
      <rPr>
        <sz val="12"/>
        <color indexed="10"/>
        <rFont val="Arial Narrow"/>
        <family val="2"/>
      </rPr>
      <t xml:space="preserve">- Ausências Legais </t>
    </r>
    <r>
      <rPr>
        <sz val="12"/>
        <rFont val="Arial Narrow"/>
        <family val="2"/>
      </rPr>
      <t xml:space="preserve">- Ausências ao trabalho asseguradas ao empregado pelo art. 473 da CLT (morte de cônjuge, ascendente, descendente; casamento; nascimento de filho; doação de sangue; alistamento eleitoral; serviço militar; comparecer a juízo). </t>
    </r>
  </si>
  <si>
    <r>
      <t>C -</t>
    </r>
    <r>
      <rPr>
        <sz val="12"/>
        <color indexed="10"/>
        <rFont val="Arial Narrow"/>
        <family val="2"/>
      </rPr>
      <t xml:space="preserve"> Licença Paternidade -</t>
    </r>
    <r>
      <rPr>
        <sz val="12"/>
        <rFont val="Arial Narrow"/>
        <family val="2"/>
      </rPr>
      <t xml:space="preserve"> 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t>
    </r>
  </si>
  <si>
    <r>
      <t xml:space="preserve">D </t>
    </r>
    <r>
      <rPr>
        <sz val="12"/>
        <color indexed="10"/>
        <rFont val="Arial Narrow"/>
        <family val="2"/>
      </rPr>
      <t>– Ausência por Acidente de Trabalho</t>
    </r>
    <r>
      <rPr>
        <sz val="12"/>
        <rFont val="Arial Narrow"/>
        <family val="2"/>
      </rPr>
      <t xml:space="preserve"> -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Assim a provisão se faz necessária</t>
    </r>
  </si>
  <si>
    <r>
      <t>E –</t>
    </r>
    <r>
      <rPr>
        <sz val="12"/>
        <color indexed="10"/>
        <rFont val="Arial Narrow"/>
        <family val="2"/>
      </rPr>
      <t xml:space="preserve"> Afastamento maternidade –</t>
    </r>
    <r>
      <rPr>
        <sz val="12"/>
        <rFont val="Arial Narrow"/>
        <family val="2"/>
      </rPr>
      <t xml:space="preserve"> O benefício da licença maternidade está previsto na Constituição Federal de 1988, especificamente nos artigos 6º, 7º, inciso XVIII, 201, inciso II e 203, inciso I. Lei Ordinária Federal n.º 8.123, de 24 de julho de 1991, regulamenta o benefício da licença maternidade, especificamente em seu artigo 71 a 73. A licença maternidade tem duração de 120 (cento e vinte) dias. O cálculo deve considerar 4/12 de de adicional de 1/3 de férias e 4/12 de 13º salário da profissional substituta. Estima-se que aproximadamente 1,5% das mulheres economicamente ativa são mães durante o período de 12 meses.</t>
    </r>
  </si>
  <si>
    <t xml:space="preserve"> MÓDULO 6 - CUSTOS INDIRETOS, TRIBUTOS E LUCRO</t>
  </si>
  <si>
    <t>Custos Indiretos,  Tributos e Lucro</t>
  </si>
  <si>
    <t>BDI</t>
  </si>
  <si>
    <t>Custos Indiretos</t>
  </si>
  <si>
    <t xml:space="preserve">Representa o rateio dos gastos de ordem geral referentes à administração do negócio (material de expediente, salários indiretos, luz, água, aluguel etc.) entre os contratos vigentes da licitante. 
(Base de Cálculo) x (Custos Indiretos)% = (Total dos Módulos 1, 2, 3 e 4) x (Média praticada pelas empresas do setor%) </t>
  </si>
  <si>
    <t>Lucro</t>
  </si>
  <si>
    <t>Remuneração da empresa, percentagem do retorno desejado - (Total dos Módulos 1, 2, 3 e 4) + (Custos indiretos )] x (Lucro)%</t>
  </si>
  <si>
    <t>Tributos - LUCRO PRESUMIDO</t>
  </si>
  <si>
    <r>
      <t xml:space="preserve">C1. COFINS - </t>
    </r>
    <r>
      <rPr>
        <sz val="12"/>
        <rFont val="Arial Narrow"/>
        <family val="2"/>
      </rPr>
      <t>aplicadas sobre o total do faturamento mensal (art. 3º e 4º da Lei 9.718/1998)</t>
    </r>
  </si>
  <si>
    <r>
      <t xml:space="preserve">C.2  PIS - </t>
    </r>
    <r>
      <rPr>
        <sz val="12"/>
        <rFont val="Arial Narrow"/>
        <family val="2"/>
      </rPr>
      <t>aplicadas sobre o total do faturamento mensal (art. 3º e 4º da Lei 9.718/1998)</t>
    </r>
  </si>
  <si>
    <r>
      <t xml:space="preserve">C.3  ISS - </t>
    </r>
    <r>
      <rPr>
        <sz val="12"/>
        <rFont val="Arial Narrow"/>
        <family val="2"/>
      </rPr>
      <t>O Imposto sobre Serviços de Qualquer Natureza (ISS) tem como fato gerador a prestação de serviços conforme previsão (Lei complementar nº 116 de 31/07/2003), ainda que esses não se constituam como atividade preponderante do prestador.</t>
    </r>
  </si>
  <si>
    <t>VIG DIURNO</t>
  </si>
  <si>
    <t>VIG NOTURNO</t>
  </si>
  <si>
    <r>
      <t xml:space="preserve">B </t>
    </r>
    <r>
      <rPr>
        <sz val="12"/>
        <color indexed="10"/>
        <rFont val="Arial Narrow"/>
        <family val="2"/>
      </rPr>
      <t xml:space="preserve">- Férias e Adicional de férias </t>
    </r>
    <r>
      <rPr>
        <sz val="12"/>
        <color indexed="8"/>
        <rFont val="Arial Narrow"/>
        <family val="2"/>
      </rPr>
      <t>- (100%/12/3)</t>
    </r>
  </si>
  <si>
    <t>R$ 4,2 * 2 por dia * 15 dias - 6% do salário (CONF CCT MA000055/2023 - VALE-TRANSPORTE CCTMA 23</t>
  </si>
  <si>
    <t>R$ 23,12 * 15 DISA (CONF CCT MA000055/2023 - AUXÍLIO ALIMENTAÇÃO</t>
  </si>
  <si>
    <t>ASSIDUIDADE</t>
  </si>
  <si>
    <t>CONF CCT MA000055/2023 - CLAUSULA TERCEIRA</t>
  </si>
  <si>
    <t xml:space="preserve">CONF CCT MA000055/2023 </t>
  </si>
  <si>
    <t>CLÁUSULA DÉCIMA OITAVA - CONF CCT MA000055/2023</t>
  </si>
  <si>
    <t>CONF CCT MA000055/2023</t>
  </si>
  <si>
    <t>ADCIONAL DE PERICULOSIDADE</t>
  </si>
  <si>
    <t>ADCIONAL NOTURNO</t>
  </si>
  <si>
    <t>CONF CCT MA000055/2023 - clausula 3ª</t>
  </si>
  <si>
    <t>HORA NOT. REDUZIDA</t>
  </si>
  <si>
    <t>MÓDULO 5 - CUSTOS INDIRETOS, TRIBUTOS E LUCRO</t>
  </si>
  <si>
    <t>COMPOSIÇÃO DO LDI</t>
  </si>
  <si>
    <t>DETALHAMENTO</t>
  </si>
  <si>
    <t xml:space="preserve">CUSTOS INDIRETOS </t>
  </si>
  <si>
    <t>INSTRUÇÃO NORMATIVA No 6 , DE 23 DE DEZEMBRO DE 2013IV –  Os custos envolvidos na execução contratual decorrentes dos gastos da contratada com sua estrutura administrativa, organizacional e gerenciamento de seus contratos, calculados mediante incidência de um percentual sobre o somatório da remuneração, encargos sociais e trabalhistas, insumos diversos, tais como os dispêndios relativos                                                                                                                  a:a) funcionamento e manutenção da sede, aluguel, água, luz, telefone, Imposto Predial Territorial Urbano – IPTU, dentre outros;                                                                                                            b) pessoal administrativo;                                                                                                            c) material e equipamentos de escritório;                                                                                           d) supervisão de serviços;                                                                                                           ee) seguros.</t>
  </si>
  <si>
    <t>LUCRO</t>
  </si>
  <si>
    <t>LUCRO - INSTRUÇÃO NORMATIVA No 6 , DE 23 DE DEZEMBRO DE 2013X – Ganho decorrente da exploração da atividade econômica, calculado mediante incidência percentual sobre a remuneração, benefícios mensais e diários, encargos sociais e trabalhistas, insumos diversos e custos indiretos.</t>
  </si>
  <si>
    <t>TRIBUTOS                                  (optante pelo lucro presumido)</t>
  </si>
  <si>
    <t>IMPOSTO SOBRE SERVIÇO DE QUALQUER NATUREZA</t>
  </si>
  <si>
    <t>ISS</t>
  </si>
  <si>
    <t>CONTRIBUIÇÃO PARA FINANCIAMENTO DA SEGURIDADE SOCIAL</t>
  </si>
  <si>
    <t>COFINS</t>
  </si>
  <si>
    <t>PROGRAMA DE INTEGRAÇÃO SOCIAL</t>
  </si>
  <si>
    <t>PIS/PASEP</t>
  </si>
  <si>
    <t xml:space="preserve">Plano Odontologico - CCT </t>
  </si>
  <si>
    <t>POSTO</t>
  </si>
  <si>
    <t xml:space="preserve">Afastamento Maternidade </t>
  </si>
  <si>
    <r>
      <t xml:space="preserve">PLANILHA DE CUSTOS E FORMAÇÃO DE PREÇOS
</t>
    </r>
    <r>
      <rPr>
        <b/>
        <sz val="18"/>
        <color theme="1"/>
        <rFont val="Times New Roman"/>
        <family val="1"/>
      </rPr>
      <t>A - DIURNO PAÇO DO LUMIAR/MA</t>
    </r>
  </si>
  <si>
    <t xml:space="preserve">Tributos  (CALCULA TRIBUTO SOBRE TOTAL  CUSTO EMPREGADO INCLUIDO MÓDULO 6 - SOMATÓRIO DOBRADO </t>
  </si>
  <si>
    <t xml:space="preserve">Auxílio-Refeição/Alimentação - 23,12x15dias // CCT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</si>
</sst>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R$&quot;\ #,##0.00;[Red]\-&quot;R$&quot;\ #,##0.00"/>
    <numFmt numFmtId="44" formatCode="_-&quot;R$&quot;\ * #,##0.00_-;\-&quot;R$&quot;\ * #,##0.00_-;_-&quot;R$&quot;\ * &quot;-&quot;??_-;_-@_-"/>
    <numFmt numFmtId="43" formatCode="_-* #,##0.00_-;\-* #,##0.00_-;_-* &quot;-&quot;??_-;_-@_-"/>
    <numFmt numFmtId="164" formatCode="_(* #,##0.00_);_(* \(#,##0.00\);_(* \-??_);_(@_)"/>
    <numFmt numFmtId="165" formatCode="0.0000%"/>
    <numFmt numFmtId="166" formatCode="&quot;R$&quot;\ #,##0.00"/>
    <numFmt numFmtId="167" formatCode="_([$€]* #,##0.00_);_([$€]* \(#,##0.00\);_([$€]* &quot;-&quot;??_);_(@_)"/>
  </numFmts>
  <fonts count="52">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sz val="10"/>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name val="Times New Roman"/>
      <family val="1"/>
    </font>
    <font>
      <b/>
      <sz val="10"/>
      <color theme="1"/>
      <name val="Times New Roman"/>
      <family val="1"/>
    </font>
    <font>
      <b/>
      <i/>
      <sz val="12"/>
      <color theme="1"/>
      <name val="Times New Roman"/>
      <family val="1"/>
    </font>
    <font>
      <b/>
      <sz val="12"/>
      <name val="Times New Roman"/>
      <family val="1"/>
    </font>
    <font>
      <b/>
      <sz val="16"/>
      <color theme="1"/>
      <name val="Times New Roman"/>
      <family val="1"/>
    </font>
    <font>
      <sz val="18"/>
      <color theme="1"/>
      <name val="Times New Roman"/>
      <family val="1"/>
    </font>
    <font>
      <i/>
      <sz val="12"/>
      <color theme="1"/>
      <name val="Times New Roman"/>
      <family val="1"/>
    </font>
    <font>
      <b/>
      <sz val="11"/>
      <name val="Calibri"/>
      <family val="2"/>
      <scheme val="minor"/>
    </font>
    <font>
      <sz val="11"/>
      <name val="Calibri"/>
      <family val="2"/>
      <scheme val="minor"/>
    </font>
    <font>
      <sz val="11"/>
      <color indexed="8"/>
      <name val="Calibri"/>
      <family val="2"/>
    </font>
    <font>
      <b/>
      <sz val="12"/>
      <name val="Calibri"/>
      <family val="2"/>
      <scheme val="minor"/>
    </font>
    <font>
      <sz val="11"/>
      <color rgb="FF000000"/>
      <name val="Calibri"/>
      <family val="2"/>
      <scheme val="minor"/>
    </font>
    <font>
      <sz val="11"/>
      <color rgb="FF000000"/>
      <name val="Calibri"/>
      <family val="2"/>
      <charset val="1"/>
    </font>
    <font>
      <b/>
      <sz val="16"/>
      <name val="Calibri"/>
      <family val="2"/>
      <scheme val="minor"/>
    </font>
    <font>
      <b/>
      <sz val="18"/>
      <color theme="1"/>
      <name val="Times New Roman"/>
      <family val="1"/>
    </font>
    <font>
      <b/>
      <sz val="14"/>
      <name val="Arial"/>
      <family val="2"/>
    </font>
    <font>
      <b/>
      <sz val="10"/>
      <name val="Arial"/>
      <family val="2"/>
    </font>
    <font>
      <b/>
      <sz val="12"/>
      <name val="Arial"/>
      <family val="2"/>
    </font>
    <font>
      <sz val="10"/>
      <name val="Arial"/>
      <family val="2"/>
    </font>
    <font>
      <b/>
      <sz val="11"/>
      <name val="Arial"/>
      <family val="2"/>
    </font>
    <font>
      <b/>
      <sz val="12"/>
      <name val="Arial Narrow"/>
      <family val="2"/>
    </font>
    <font>
      <b/>
      <sz val="12"/>
      <color indexed="10"/>
      <name val="Arial Narrow"/>
      <family val="2"/>
    </font>
    <font>
      <sz val="12"/>
      <color indexed="10"/>
      <name val="Arial Narrow"/>
      <family val="2"/>
    </font>
    <font>
      <sz val="12"/>
      <name val="Arial Narrow"/>
      <family val="2"/>
    </font>
    <font>
      <sz val="12"/>
      <color indexed="8"/>
      <name val="Arial Narrow"/>
      <family val="2"/>
    </font>
    <font>
      <sz val="12"/>
      <color rgb="FFFF0000"/>
      <name val="Arial Narrow"/>
      <family val="2"/>
    </font>
    <font>
      <sz val="11"/>
      <name val="Arial"/>
      <family val="2"/>
    </font>
    <font>
      <b/>
      <sz val="11"/>
      <color rgb="FFFF0000"/>
      <name val="Calibri"/>
      <family val="2"/>
      <scheme val="minor"/>
    </font>
    <font>
      <sz val="7"/>
      <color rgb="FF333333"/>
      <name val="Rawline"/>
    </font>
    <font>
      <sz val="7"/>
      <color rgb="FF000000"/>
      <name val="Verdana"/>
      <family val="2"/>
    </font>
  </fonts>
  <fills count="55">
    <fill>
      <patternFill patternType="none"/>
    </fill>
    <fill>
      <patternFill patternType="gray125"/>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DDAAA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2"/>
        <bgColor indexed="64"/>
      </patternFill>
    </fill>
    <fill>
      <patternFill patternType="solid">
        <fgColor theme="3" tint="0.79998168889431442"/>
        <bgColor indexed="64"/>
      </patternFill>
    </fill>
    <fill>
      <patternFill patternType="solid">
        <fgColor theme="0"/>
        <bgColor indexed="64"/>
      </patternFill>
    </fill>
    <fill>
      <patternFill patternType="solid">
        <fgColor indexed="22"/>
        <bgColor indexed="31"/>
      </patternFill>
    </fill>
    <fill>
      <patternFill patternType="solid">
        <fgColor indexed="9"/>
        <bgColor indexed="26"/>
      </patternFill>
    </fill>
    <fill>
      <patternFill patternType="solid">
        <fgColor theme="9" tint="0.79998168889431442"/>
        <bgColor indexed="64"/>
      </patternFill>
    </fill>
    <fill>
      <patternFill patternType="solid">
        <fgColor theme="0"/>
        <bgColor indexed="26"/>
      </patternFill>
    </fill>
    <fill>
      <patternFill patternType="solid">
        <fgColor theme="0" tint="-0.249977111117893"/>
        <bgColor indexed="26"/>
      </patternFill>
    </fill>
    <fill>
      <patternFill patternType="solid">
        <fgColor theme="3" tint="0.399975585192419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double">
        <color indexed="64"/>
      </left>
      <right style="double">
        <color indexed="64"/>
      </right>
      <top/>
      <bottom style="double">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style="medium">
        <color indexed="64"/>
      </top>
      <bottom/>
      <diagonal/>
    </border>
  </borders>
  <cellStyleXfs count="65">
    <xf numFmtId="0" fontId="0" fillId="0" borderId="0"/>
    <xf numFmtId="9" fontId="1" fillId="0" borderId="0" applyFont="0" applyFill="0" applyBorder="0" applyAlignment="0" applyProtection="0"/>
    <xf numFmtId="43" fontId="1" fillId="0" borderId="0" applyFont="0" applyFill="0" applyBorder="0" applyAlignment="0" applyProtection="0"/>
    <xf numFmtId="164" fontId="4"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applyNumberFormat="0" applyFill="0" applyBorder="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0" applyNumberFormat="0" applyBorder="0" applyAlignment="0" applyProtection="0"/>
    <xf numFmtId="0" fontId="12" fillId="6" borderId="6" applyNumberFormat="0" applyAlignment="0" applyProtection="0"/>
    <xf numFmtId="0" fontId="13" fillId="7" borderId="7" applyNumberFormat="0" applyAlignment="0" applyProtection="0"/>
    <xf numFmtId="0" fontId="14" fillId="7" borderId="6" applyNumberFormat="0" applyAlignment="0" applyProtection="0"/>
    <xf numFmtId="0" fontId="15" fillId="0" borderId="8" applyNumberFormat="0" applyFill="0" applyAlignment="0" applyProtection="0"/>
    <xf numFmtId="0" fontId="16" fillId="8" borderId="9" applyNumberFormat="0" applyAlignment="0" applyProtection="0"/>
    <xf numFmtId="0" fontId="17" fillId="0" borderId="0" applyNumberFormat="0" applyFill="0" applyBorder="0" applyAlignment="0" applyProtection="0"/>
    <xf numFmtId="0" fontId="1" fillId="9" borderId="10" applyNumberFormat="0" applyFont="0" applyAlignment="0" applyProtection="0"/>
    <xf numFmtId="0" fontId="18" fillId="0" borderId="0" applyNumberFormat="0" applyFill="0" applyBorder="0" applyAlignment="0" applyProtection="0"/>
    <xf numFmtId="0" fontId="19" fillId="0" borderId="11" applyNumberFormat="0" applyFill="0" applyAlignment="0" applyProtection="0"/>
    <xf numFmtId="0" fontId="20"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0" fillId="29" borderId="0" applyNumberFormat="0" applyBorder="0" applyAlignment="0" applyProtection="0"/>
    <xf numFmtId="0" fontId="20"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0" fillId="33" borderId="0" applyNumberFormat="0" applyBorder="0" applyAlignment="0" applyProtection="0"/>
    <xf numFmtId="43" fontId="1" fillId="0" borderId="0" applyFont="0" applyFill="0" applyBorder="0" applyAlignment="0" applyProtection="0"/>
    <xf numFmtId="0" fontId="2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4" fillId="0" borderId="0"/>
    <xf numFmtId="44" fontId="31" fillId="0" borderId="0" applyFont="0" applyFill="0" applyBorder="0" applyAlignment="0" applyProtection="0"/>
    <xf numFmtId="44" fontId="1" fillId="0" borderId="0" applyFont="0" applyFill="0" applyBorder="0" applyAlignment="0" applyProtection="0"/>
    <xf numFmtId="0" fontId="34" fillId="0" borderId="0"/>
    <xf numFmtId="0" fontId="40" fillId="0" borderId="0"/>
    <xf numFmtId="167" fontId="40" fillId="0" borderId="0" applyFont="0" applyFill="0" applyBorder="0" applyAlignment="0" applyProtection="0"/>
    <xf numFmtId="44" fontId="40" fillId="0" borderId="0" applyFont="0" applyFill="0" applyBorder="0" applyAlignment="0" applyProtection="0"/>
    <xf numFmtId="0" fontId="4" fillId="0" borderId="0"/>
    <xf numFmtId="9" fontId="40" fillId="0" borderId="0" applyFont="0" applyFill="0" applyBorder="0" applyAlignment="0" applyProtection="0"/>
    <xf numFmtId="9" fontId="31" fillId="0" borderId="0" applyFill="0" applyBorder="0" applyAlignment="0" applyProtection="0"/>
    <xf numFmtId="43" fontId="40" fillId="0" borderId="0" applyFont="0" applyFill="0" applyBorder="0" applyAlignment="0" applyProtection="0"/>
  </cellStyleXfs>
  <cellXfs count="264">
    <xf numFmtId="0" fontId="0" fillId="0" borderId="0" xfId="0"/>
    <xf numFmtId="0" fontId="3" fillId="0" borderId="0" xfId="0" applyFont="1" applyAlignment="1">
      <alignment vertical="center"/>
    </xf>
    <xf numFmtId="0" fontId="2" fillId="0" borderId="0" xfId="0" applyFont="1" applyAlignment="1">
      <alignment vertical="center"/>
    </xf>
    <xf numFmtId="0" fontId="3" fillId="0" borderId="0" xfId="0" applyFont="1"/>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10" fontId="3" fillId="0" borderId="1" xfId="0" applyNumberFormat="1" applyFont="1" applyBorder="1" applyAlignment="1">
      <alignment horizontal="center" vertical="center" wrapText="1"/>
    </xf>
    <xf numFmtId="10" fontId="2" fillId="35" borderId="1" xfId="2" applyNumberFormat="1" applyFont="1" applyFill="1" applyBorder="1" applyAlignment="1">
      <alignment horizontal="center" vertical="center" wrapText="1"/>
    </xf>
    <xf numFmtId="10" fontId="2" fillId="35" borderId="1" xfId="0" applyNumberFormat="1" applyFont="1" applyFill="1" applyBorder="1" applyAlignment="1">
      <alignment horizontal="center" vertical="center" wrapText="1"/>
    </xf>
    <xf numFmtId="0" fontId="23" fillId="35" borderId="1" xfId="0" applyFont="1" applyFill="1" applyBorder="1" applyAlignment="1">
      <alignment horizontal="center" vertical="center" wrapText="1"/>
    </xf>
    <xf numFmtId="0" fontId="3" fillId="0" borderId="1" xfId="0" applyFont="1" applyBorder="1" applyAlignment="1">
      <alignment horizontal="justify" vertical="center" wrapText="1"/>
    </xf>
    <xf numFmtId="0" fontId="23" fillId="2" borderId="1" xfId="0" applyFont="1" applyFill="1" applyBorder="1" applyAlignment="1">
      <alignment horizontal="center" vertical="center" wrapText="1"/>
    </xf>
    <xf numFmtId="10" fontId="3" fillId="0" borderId="1" xfId="1" applyNumberFormat="1" applyFont="1" applyBorder="1" applyAlignment="1">
      <alignment horizontal="center" vertical="center" wrapText="1"/>
    </xf>
    <xf numFmtId="10" fontId="2" fillId="2" borderId="1" xfId="1" applyNumberFormat="1" applyFont="1" applyFill="1" applyBorder="1" applyAlignment="1">
      <alignment horizontal="center" vertical="center" wrapText="1"/>
    </xf>
    <xf numFmtId="0" fontId="2" fillId="0" borderId="1" xfId="0" applyFont="1" applyBorder="1" applyAlignment="1">
      <alignment vertical="center" wrapText="1"/>
    </xf>
    <xf numFmtId="0" fontId="2" fillId="35" borderId="1" xfId="0" applyFont="1" applyFill="1" applyBorder="1" applyAlignment="1">
      <alignment vertical="center" wrapText="1"/>
    </xf>
    <xf numFmtId="0" fontId="19" fillId="0" borderId="1" xfId="0" applyFont="1" applyBorder="1" applyAlignment="1">
      <alignment horizontal="center" vertical="center"/>
    </xf>
    <xf numFmtId="0" fontId="19" fillId="34" borderId="1" xfId="0" applyFont="1" applyFill="1" applyBorder="1"/>
    <xf numFmtId="0" fontId="19" fillId="0" borderId="1" xfId="0" applyFont="1" applyBorder="1" applyAlignment="1">
      <alignment wrapText="1"/>
    </xf>
    <xf numFmtId="0" fontId="19" fillId="0" borderId="1" xfId="0" applyFont="1" applyBorder="1" applyAlignment="1">
      <alignment horizontal="left" vertical="center" wrapText="1"/>
    </xf>
    <xf numFmtId="0" fontId="19" fillId="0" borderId="1" xfId="0" applyFont="1" applyBorder="1"/>
    <xf numFmtId="43" fontId="3" fillId="0" borderId="0" xfId="2" applyFont="1"/>
    <xf numFmtId="43" fontId="3" fillId="0" borderId="0" xfId="0" applyNumberFormat="1" applyFont="1"/>
    <xf numFmtId="43" fontId="0" fillId="0" borderId="0" xfId="0" applyNumberFormat="1"/>
    <xf numFmtId="9" fontId="3" fillId="0" borderId="0" xfId="0" applyNumberFormat="1" applyFont="1" applyAlignment="1">
      <alignment horizontal="left"/>
    </xf>
    <xf numFmtId="10" fontId="3" fillId="0" borderId="0" xfId="0" applyNumberFormat="1" applyFont="1"/>
    <xf numFmtId="0" fontId="3" fillId="0" borderId="0" xfId="0" applyFont="1" applyAlignment="1">
      <alignment horizontal="center"/>
    </xf>
    <xf numFmtId="9" fontId="3" fillId="0" borderId="0" xfId="0" applyNumberFormat="1" applyFont="1" applyAlignment="1">
      <alignment horizontal="center"/>
    </xf>
    <xf numFmtId="10" fontId="3" fillId="0" borderId="0" xfId="0" applyNumberFormat="1" applyFont="1" applyAlignment="1">
      <alignment horizontal="center"/>
    </xf>
    <xf numFmtId="2" fontId="3" fillId="0" borderId="0" xfId="0" applyNumberFormat="1" applyFont="1" applyAlignment="1">
      <alignment horizontal="center"/>
    </xf>
    <xf numFmtId="10" fontId="3" fillId="0" borderId="0" xfId="2" applyNumberFormat="1" applyFont="1" applyFill="1"/>
    <xf numFmtId="165" fontId="3" fillId="0" borderId="0" xfId="1" applyNumberFormat="1" applyFont="1" applyFill="1"/>
    <xf numFmtId="43" fontId="2" fillId="0" borderId="0" xfId="2" applyFont="1" applyFill="1" applyBorder="1" applyAlignment="1">
      <alignment horizontal="center" vertical="center" wrapText="1"/>
    </xf>
    <xf numFmtId="9" fontId="3" fillId="0" borderId="0" xfId="0" applyNumberFormat="1" applyFont="1"/>
    <xf numFmtId="44" fontId="3" fillId="0" borderId="1" xfId="53" applyFont="1" applyBorder="1" applyAlignment="1">
      <alignment horizontal="center" vertical="center" wrapText="1"/>
    </xf>
    <xf numFmtId="44" fontId="3" fillId="0" borderId="1" xfId="53" applyFont="1" applyFill="1" applyBorder="1" applyAlignment="1">
      <alignment horizontal="center" vertical="center" wrapText="1"/>
    </xf>
    <xf numFmtId="44" fontId="2" fillId="35" borderId="1" xfId="53" applyFont="1" applyFill="1" applyBorder="1" applyAlignment="1">
      <alignment horizontal="center" vertical="center" wrapText="1"/>
    </xf>
    <xf numFmtId="44" fontId="2" fillId="2" borderId="1" xfId="53" applyFont="1" applyFill="1" applyBorder="1" applyAlignment="1">
      <alignment horizontal="center" vertical="center" wrapText="1"/>
    </xf>
    <xf numFmtId="9" fontId="3" fillId="0" borderId="0" xfId="1" applyFont="1"/>
    <xf numFmtId="44" fontId="3" fillId="0" borderId="0" xfId="53" applyFont="1"/>
    <xf numFmtId="0" fontId="2" fillId="35" borderId="1" xfId="0" applyFont="1" applyFill="1" applyBorder="1" applyAlignment="1">
      <alignment horizontal="center" vertical="center" wrapText="1"/>
    </xf>
    <xf numFmtId="0" fontId="19" fillId="34" borderId="1" xfId="0" applyFont="1" applyFill="1" applyBorder="1" applyAlignment="1">
      <alignment horizontal="center" vertical="center"/>
    </xf>
    <xf numFmtId="0" fontId="0" fillId="0" borderId="1" xfId="0" applyBorder="1" applyAlignment="1">
      <alignment horizontal="center" vertical="center"/>
    </xf>
    <xf numFmtId="10" fontId="2" fillId="0" borderId="0" xfId="0" applyNumberFormat="1" applyFont="1"/>
    <xf numFmtId="43" fontId="2" fillId="35" borderId="1" xfId="0" applyNumberFormat="1" applyFont="1" applyFill="1" applyBorder="1" applyAlignment="1">
      <alignment horizontal="center" vertical="center" wrapText="1"/>
    </xf>
    <xf numFmtId="43" fontId="2" fillId="0" borderId="0" xfId="2" applyFont="1" applyAlignment="1">
      <alignment horizontal="center"/>
    </xf>
    <xf numFmtId="43" fontId="2" fillId="0" borderId="0" xfId="2" applyFont="1" applyFill="1" applyBorder="1"/>
    <xf numFmtId="0" fontId="2" fillId="0" borderId="0" xfId="0" applyFont="1"/>
    <xf numFmtId="0" fontId="28" fillId="0" borderId="0" xfId="0" applyFont="1" applyAlignment="1">
      <alignment horizontal="center"/>
    </xf>
    <xf numFmtId="43" fontId="2" fillId="0" borderId="0" xfId="0" applyNumberFormat="1" applyFont="1"/>
    <xf numFmtId="43" fontId="3" fillId="0" borderId="1" xfId="2" applyFont="1" applyFill="1" applyBorder="1" applyAlignment="1">
      <alignment horizontal="center" vertical="center" wrapText="1"/>
    </xf>
    <xf numFmtId="43" fontId="2" fillId="0" borderId="1" xfId="2" applyFont="1" applyFill="1" applyBorder="1" applyAlignment="1">
      <alignment horizontal="center" vertical="center" wrapText="1"/>
    </xf>
    <xf numFmtId="0" fontId="23" fillId="0" borderId="0" xfId="0" applyFont="1" applyAlignment="1">
      <alignment horizontal="left"/>
    </xf>
    <xf numFmtId="0" fontId="23" fillId="0" borderId="0" xfId="0" applyFont="1"/>
    <xf numFmtId="0" fontId="19" fillId="34" borderId="1" xfId="0" applyFont="1" applyFill="1" applyBorder="1" applyAlignment="1">
      <alignment horizontal="center" vertical="center" wrapText="1"/>
    </xf>
    <xf numFmtId="0" fontId="0" fillId="0" borderId="1" xfId="0" applyBorder="1"/>
    <xf numFmtId="49" fontId="0" fillId="0" borderId="1" xfId="0" applyNumberFormat="1" applyBorder="1" applyAlignment="1">
      <alignment horizontal="center"/>
    </xf>
    <xf numFmtId="0" fontId="4" fillId="0" borderId="0" xfId="54"/>
    <xf numFmtId="0" fontId="29" fillId="0" borderId="20" xfId="54" applyFont="1" applyBorder="1" applyAlignment="1">
      <alignment horizontal="center" vertical="center"/>
    </xf>
    <xf numFmtId="0" fontId="29" fillId="0" borderId="20" xfId="54" applyFont="1" applyBorder="1" applyAlignment="1">
      <alignment horizontal="center" vertical="center" wrapText="1"/>
    </xf>
    <xf numFmtId="0" fontId="30" fillId="0" borderId="1" xfId="54" applyFont="1" applyBorder="1" applyAlignment="1">
      <alignment horizontal="center" vertical="center"/>
    </xf>
    <xf numFmtId="0" fontId="33" fillId="0" borderId="21" xfId="0" applyFont="1" applyBorder="1" applyAlignment="1">
      <alignment horizontal="justify" vertical="center" wrapText="1"/>
    </xf>
    <xf numFmtId="166" fontId="30" fillId="0" borderId="1" xfId="54" applyNumberFormat="1" applyFont="1" applyBorder="1" applyAlignment="1">
      <alignment horizontal="center"/>
    </xf>
    <xf numFmtId="49" fontId="33" fillId="0" borderId="1" xfId="0" applyNumberFormat="1" applyFont="1" applyBorder="1" applyAlignment="1">
      <alignment horizontal="center"/>
    </xf>
    <xf numFmtId="166" fontId="33" fillId="0" borderId="1" xfId="53" applyNumberFormat="1" applyFont="1" applyBorder="1" applyAlignment="1">
      <alignment horizontal="center"/>
    </xf>
    <xf numFmtId="166" fontId="30" fillId="0" borderId="1" xfId="54" applyNumberFormat="1" applyFont="1" applyBorder="1" applyAlignment="1">
      <alignment horizontal="center" vertical="center"/>
    </xf>
    <xf numFmtId="49" fontId="30" fillId="0" borderId="1" xfId="54" applyNumberFormat="1" applyFont="1" applyBorder="1" applyAlignment="1">
      <alignment horizontal="center"/>
    </xf>
    <xf numFmtId="166" fontId="29" fillId="37" borderId="1" xfId="54" applyNumberFormat="1" applyFont="1" applyFill="1" applyBorder="1" applyAlignment="1">
      <alignment horizontal="center" vertical="center"/>
    </xf>
    <xf numFmtId="0" fontId="0" fillId="0" borderId="1" xfId="0" applyBorder="1" applyAlignment="1">
      <alignment horizontal="center" vertical="center" wrapText="1"/>
    </xf>
    <xf numFmtId="10" fontId="3" fillId="40" borderId="1" xfId="0" applyNumberFormat="1" applyFont="1" applyFill="1" applyBorder="1" applyAlignment="1">
      <alignment horizontal="center" vertical="center" wrapText="1"/>
    </xf>
    <xf numFmtId="10" fontId="3" fillId="41" borderId="1" xfId="1" applyNumberFormat="1" applyFont="1" applyFill="1" applyBorder="1" applyAlignment="1">
      <alignment horizontal="center" vertical="center" wrapText="1"/>
    </xf>
    <xf numFmtId="10" fontId="3" fillId="40" borderId="1" xfId="1" applyNumberFormat="1" applyFont="1" applyFill="1" applyBorder="1" applyAlignment="1">
      <alignment horizontal="center" vertical="center" wrapText="1"/>
    </xf>
    <xf numFmtId="10" fontId="2" fillId="42" borderId="1" xfId="1" applyNumberFormat="1" applyFont="1" applyFill="1" applyBorder="1" applyAlignment="1">
      <alignment horizontal="center" vertical="center" wrapText="1"/>
    </xf>
    <xf numFmtId="10" fontId="3" fillId="43" borderId="1" xfId="1" applyNumberFormat="1" applyFont="1" applyFill="1" applyBorder="1" applyAlignment="1">
      <alignment horizontal="center" vertical="center" wrapText="1"/>
    </xf>
    <xf numFmtId="44" fontId="2" fillId="0" borderId="1" xfId="53" applyFont="1" applyFill="1" applyBorder="1" applyAlignment="1">
      <alignment horizontal="center" vertical="center" wrapText="1"/>
    </xf>
    <xf numFmtId="0" fontId="25" fillId="0" borderId="0" xfId="0" applyFont="1"/>
    <xf numFmtId="44" fontId="0" fillId="0" borderId="1" xfId="53" applyFont="1" applyBorder="1" applyAlignment="1">
      <alignment horizontal="center" vertical="center"/>
    </xf>
    <xf numFmtId="44" fontId="0" fillId="0" borderId="1" xfId="53" applyFont="1" applyBorder="1" applyAlignment="1">
      <alignment horizontal="center" vertical="center" wrapText="1"/>
    </xf>
    <xf numFmtId="44" fontId="0" fillId="0" borderId="1" xfId="53" applyFont="1" applyBorder="1" applyAlignment="1">
      <alignment vertical="center"/>
    </xf>
    <xf numFmtId="10" fontId="22" fillId="40" borderId="1" xfId="1" applyNumberFormat="1" applyFont="1" applyFill="1" applyBorder="1" applyAlignment="1">
      <alignment horizontal="center" vertical="center" wrapText="1"/>
    </xf>
    <xf numFmtId="0" fontId="30" fillId="0" borderId="1" xfId="0" applyFont="1" applyBorder="1" applyAlignment="1">
      <alignment horizontal="left" vertical="center"/>
    </xf>
    <xf numFmtId="44" fontId="30" fillId="0" borderId="1" xfId="53" applyFont="1" applyBorder="1" applyAlignment="1">
      <alignment horizontal="center" vertical="center"/>
    </xf>
    <xf numFmtId="0" fontId="0" fillId="0" borderId="1" xfId="0" applyBorder="1" applyAlignment="1">
      <alignment vertical="center"/>
    </xf>
    <xf numFmtId="0" fontId="33" fillId="0" borderId="1" xfId="0" applyFont="1" applyBorder="1" applyAlignment="1">
      <alignment horizontal="justify" vertical="center" wrapText="1"/>
    </xf>
    <xf numFmtId="0" fontId="33" fillId="0" borderId="0" xfId="0" applyFont="1"/>
    <xf numFmtId="0" fontId="30" fillId="0" borderId="1" xfId="54" applyFont="1" applyBorder="1" applyAlignment="1">
      <alignment horizontal="center"/>
    </xf>
    <xf numFmtId="0" fontId="33" fillId="0" borderId="1" xfId="0" applyFont="1" applyBorder="1" applyAlignment="1">
      <alignment horizontal="center"/>
    </xf>
    <xf numFmtId="44" fontId="19" fillId="46" borderId="1" xfId="53" applyFont="1" applyFill="1" applyBorder="1" applyAlignment="1">
      <alignment vertical="center"/>
    </xf>
    <xf numFmtId="17" fontId="0" fillId="0" borderId="1" xfId="0" applyNumberFormat="1" applyBorder="1"/>
    <xf numFmtId="0" fontId="29" fillId="37" borderId="19" xfId="54" applyFont="1" applyFill="1" applyBorder="1" applyAlignment="1">
      <alignment horizontal="center" vertical="center"/>
    </xf>
    <xf numFmtId="0" fontId="25" fillId="0" borderId="0" xfId="0" applyFont="1" applyAlignment="1">
      <alignment wrapText="1"/>
    </xf>
    <xf numFmtId="0" fontId="0" fillId="0" borderId="0" xfId="0" applyAlignment="1">
      <alignment vertical="center"/>
    </xf>
    <xf numFmtId="44" fontId="3" fillId="0" borderId="0" xfId="0" applyNumberFormat="1" applyFont="1"/>
    <xf numFmtId="0" fontId="19" fillId="45" borderId="1" xfId="0" applyFont="1" applyFill="1" applyBorder="1" applyAlignment="1">
      <alignment horizontal="center" vertical="center" wrapText="1"/>
    </xf>
    <xf numFmtId="0" fontId="19" fillId="0" borderId="0" xfId="0" applyFont="1" applyAlignment="1">
      <alignment horizontal="center" vertical="center" wrapText="1"/>
    </xf>
    <xf numFmtId="0" fontId="0" fillId="0" borderId="0" xfId="0" applyAlignment="1">
      <alignment horizontal="center" vertical="center"/>
    </xf>
    <xf numFmtId="44" fontId="0" fillId="0" borderId="0" xfId="53" applyFont="1" applyAlignment="1">
      <alignment horizontal="center" vertical="center"/>
    </xf>
    <xf numFmtId="44" fontId="19" fillId="43" borderId="1" xfId="53" applyFont="1" applyFill="1" applyBorder="1" applyAlignment="1">
      <alignment vertical="center"/>
    </xf>
    <xf numFmtId="0" fontId="25" fillId="0" borderId="0" xfId="0" applyFont="1" applyAlignment="1">
      <alignment vertical="center" wrapText="1"/>
    </xf>
    <xf numFmtId="44" fontId="33" fillId="0" borderId="1" xfId="53" applyFont="1" applyBorder="1" applyAlignment="1">
      <alignment horizontal="center"/>
    </xf>
    <xf numFmtId="0" fontId="40" fillId="0" borderId="0" xfId="58"/>
    <xf numFmtId="0" fontId="38" fillId="0" borderId="0" xfId="58" applyFont="1" applyAlignment="1">
      <alignment horizontal="center"/>
    </xf>
    <xf numFmtId="0" fontId="4" fillId="0" borderId="33" xfId="58" applyFont="1" applyBorder="1" applyAlignment="1">
      <alignment horizontal="left" indent="3"/>
    </xf>
    <xf numFmtId="0" fontId="4" fillId="0" borderId="35" xfId="58" applyFont="1" applyBorder="1" applyAlignment="1">
      <alignment horizontal="left" indent="3"/>
    </xf>
    <xf numFmtId="10" fontId="42" fillId="49" borderId="1" xfId="63" applyNumberFormat="1" applyFont="1" applyFill="1" applyBorder="1" applyAlignment="1" applyProtection="1">
      <alignment horizontal="center" vertical="center" wrapText="1"/>
    </xf>
    <xf numFmtId="10" fontId="45" fillId="50" borderId="1" xfId="63" applyNumberFormat="1" applyFont="1" applyFill="1" applyBorder="1" applyAlignment="1" applyProtection="1">
      <alignment horizontal="center" vertical="center" wrapText="1"/>
    </xf>
    <xf numFmtId="0" fontId="4" fillId="0" borderId="0" xfId="58" applyFont="1"/>
    <xf numFmtId="10" fontId="45" fillId="48" borderId="1" xfId="62" applyNumberFormat="1" applyFont="1" applyFill="1" applyBorder="1" applyAlignment="1" applyProtection="1">
      <alignment horizontal="center" vertical="center" wrapText="1"/>
    </xf>
    <xf numFmtId="10" fontId="45" fillId="48" borderId="1" xfId="63" applyNumberFormat="1" applyFont="1" applyFill="1" applyBorder="1" applyAlignment="1" applyProtection="1">
      <alignment horizontal="center" vertical="center" wrapText="1"/>
    </xf>
    <xf numFmtId="10" fontId="45" fillId="52" borderId="1" xfId="63" applyNumberFormat="1" applyFont="1" applyFill="1" applyBorder="1" applyAlignment="1" applyProtection="1">
      <alignment horizontal="center" vertical="center" wrapText="1"/>
    </xf>
    <xf numFmtId="10" fontId="47" fillId="52" borderId="1" xfId="63" applyNumberFormat="1" applyFont="1" applyFill="1" applyBorder="1" applyAlignment="1" applyProtection="1">
      <alignment horizontal="center" vertical="center" wrapText="1"/>
    </xf>
    <xf numFmtId="0" fontId="43" fillId="50" borderId="1" xfId="61" applyFont="1" applyFill="1" applyBorder="1" applyAlignment="1">
      <alignment vertical="center" wrapText="1"/>
    </xf>
    <xf numFmtId="0" fontId="4" fillId="0" borderId="39" xfId="58" applyFont="1" applyBorder="1" applyAlignment="1">
      <alignment horizontal="left" indent="3"/>
    </xf>
    <xf numFmtId="0" fontId="4" fillId="0" borderId="41" xfId="58" applyFont="1" applyBorder="1" applyAlignment="1">
      <alignment horizontal="left" indent="3"/>
    </xf>
    <xf numFmtId="0" fontId="4" fillId="0" borderId="27" xfId="0" applyFont="1" applyBorder="1" applyAlignment="1">
      <alignment horizontal="center" vertical="center"/>
    </xf>
    <xf numFmtId="10" fontId="0" fillId="0" borderId="27" xfId="1" applyNumberFormat="1" applyFont="1" applyBorder="1" applyAlignment="1">
      <alignment horizontal="center" vertical="center"/>
    </xf>
    <xf numFmtId="44" fontId="0" fillId="0" borderId="0" xfId="0" applyNumberFormat="1"/>
    <xf numFmtId="44" fontId="49" fillId="40" borderId="0" xfId="0" applyNumberFormat="1" applyFont="1" applyFill="1" applyAlignment="1">
      <alignment vertical="top"/>
    </xf>
    <xf numFmtId="44" fontId="4" fillId="0" borderId="0" xfId="54" applyNumberFormat="1"/>
    <xf numFmtId="8" fontId="0" fillId="0" borderId="0" xfId="0" applyNumberFormat="1"/>
    <xf numFmtId="4" fontId="51" fillId="0" borderId="0" xfId="0" applyNumberFormat="1" applyFont="1"/>
    <xf numFmtId="8" fontId="3" fillId="0" borderId="0" xfId="0" applyNumberFormat="1" applyFont="1"/>
    <xf numFmtId="8" fontId="4" fillId="0" borderId="0" xfId="54" applyNumberFormat="1"/>
    <xf numFmtId="0" fontId="3" fillId="40" borderId="1" xfId="0" applyFont="1" applyFill="1" applyBorder="1" applyAlignment="1">
      <alignment vertical="center" wrapText="1"/>
    </xf>
    <xf numFmtId="10" fontId="3" fillId="0" borderId="0" xfId="1" applyNumberFormat="1" applyFont="1"/>
    <xf numFmtId="0" fontId="23" fillId="0" borderId="1" xfId="0" applyFont="1" applyBorder="1" applyAlignment="1">
      <alignment horizontal="left"/>
    </xf>
    <xf numFmtId="0" fontId="3" fillId="0" borderId="1" xfId="0" applyFont="1" applyBorder="1"/>
    <xf numFmtId="44" fontId="0" fillId="0" borderId="0" xfId="0" applyNumberFormat="1" applyAlignment="1">
      <alignment horizontal="center" vertical="center"/>
    </xf>
    <xf numFmtId="0" fontId="19" fillId="0" borderId="0" xfId="0" applyFont="1" applyAlignment="1">
      <alignment horizontal="center" vertical="center" wrapText="1"/>
    </xf>
    <xf numFmtId="0" fontId="35" fillId="39" borderId="1" xfId="57" applyFont="1" applyFill="1" applyBorder="1" applyAlignment="1">
      <alignment horizontal="center" vertical="center"/>
    </xf>
    <xf numFmtId="0" fontId="0" fillId="0" borderId="22" xfId="0" applyBorder="1" applyAlignment="1">
      <alignment horizontal="center" vertical="center" wrapText="1"/>
    </xf>
    <xf numFmtId="0" fontId="0" fillId="0" borderId="20" xfId="0" applyBorder="1" applyAlignment="1">
      <alignment horizontal="center" vertical="center" wrapText="1"/>
    </xf>
    <xf numFmtId="0" fontId="19" fillId="43" borderId="2" xfId="0" applyFont="1" applyFill="1" applyBorder="1" applyAlignment="1">
      <alignment horizontal="center"/>
    </xf>
    <xf numFmtId="0" fontId="19" fillId="43" borderId="14" xfId="0" applyFont="1" applyFill="1" applyBorder="1" applyAlignment="1">
      <alignment horizontal="center"/>
    </xf>
    <xf numFmtId="0" fontId="19" fillId="46" borderId="2" xfId="0" applyFont="1" applyFill="1" applyBorder="1" applyAlignment="1">
      <alignment horizontal="right" vertical="center"/>
    </xf>
    <xf numFmtId="0" fontId="19" fillId="46" borderId="14" xfId="0" applyFont="1" applyFill="1" applyBorder="1" applyAlignment="1">
      <alignment horizontal="right" vertical="center"/>
    </xf>
    <xf numFmtId="0" fontId="19" fillId="46" borderId="13" xfId="0" applyFont="1" applyFill="1" applyBorder="1" applyAlignment="1">
      <alignment horizontal="right" vertical="center"/>
    </xf>
    <xf numFmtId="0" fontId="19" fillId="36" borderId="2" xfId="0" applyFont="1" applyFill="1" applyBorder="1" applyAlignment="1">
      <alignment horizontal="right" vertical="center"/>
    </xf>
    <xf numFmtId="0" fontId="19" fillId="36" borderId="14" xfId="0" applyFont="1" applyFill="1" applyBorder="1" applyAlignment="1">
      <alignment horizontal="right" vertical="center"/>
    </xf>
    <xf numFmtId="0" fontId="19" fillId="36" borderId="13" xfId="0" applyFont="1" applyFill="1" applyBorder="1" applyAlignment="1">
      <alignment horizontal="right" vertical="center"/>
    </xf>
    <xf numFmtId="0" fontId="19" fillId="46" borderId="2" xfId="0" applyFont="1" applyFill="1" applyBorder="1" applyAlignment="1">
      <alignment horizontal="center"/>
    </xf>
    <xf numFmtId="0" fontId="19" fillId="46" borderId="14" xfId="0" applyFont="1" applyFill="1" applyBorder="1" applyAlignment="1">
      <alignment horizontal="center"/>
    </xf>
    <xf numFmtId="0" fontId="19" fillId="43" borderId="2" xfId="0" applyFont="1" applyFill="1" applyBorder="1" applyAlignment="1">
      <alignment horizontal="center" vertical="center"/>
    </xf>
    <xf numFmtId="0" fontId="19" fillId="43" borderId="14" xfId="0" applyFont="1" applyFill="1" applyBorder="1" applyAlignment="1">
      <alignment horizontal="center" vertical="center"/>
    </xf>
    <xf numFmtId="44" fontId="3" fillId="0" borderId="2" xfId="53" applyFont="1" applyBorder="1" applyAlignment="1">
      <alignment horizontal="center" vertical="center" wrapText="1"/>
    </xf>
    <xf numFmtId="44" fontId="3" fillId="0" borderId="13" xfId="53" applyFont="1" applyBorder="1" applyAlignment="1">
      <alignment horizontal="center" vertical="center" wrapText="1"/>
    </xf>
    <xf numFmtId="0" fontId="23" fillId="35" borderId="2" xfId="0" applyFont="1" applyFill="1" applyBorder="1" applyAlignment="1">
      <alignment horizontal="center" vertical="center" wrapText="1"/>
    </xf>
    <xf numFmtId="0" fontId="23" fillId="35" borderId="13" xfId="0" applyFont="1" applyFill="1" applyBorder="1" applyAlignment="1">
      <alignment horizontal="center" vertical="center" wrapText="1"/>
    </xf>
    <xf numFmtId="44" fontId="3" fillId="40" borderId="2" xfId="53" applyFont="1" applyFill="1" applyBorder="1" applyAlignment="1">
      <alignment horizontal="center" vertical="center" wrapText="1"/>
    </xf>
    <xf numFmtId="44" fontId="3" fillId="40" borderId="13" xfId="53" applyFont="1" applyFill="1" applyBorder="1" applyAlignment="1">
      <alignment horizontal="center" vertical="center" wrapText="1"/>
    </xf>
    <xf numFmtId="44" fontId="2" fillId="35" borderId="2" xfId="2" applyNumberFormat="1" applyFont="1" applyFill="1" applyBorder="1" applyAlignment="1">
      <alignment horizontal="center" vertical="center" wrapText="1"/>
    </xf>
    <xf numFmtId="44" fontId="2" fillId="35" borderId="13" xfId="2" applyNumberFormat="1" applyFont="1" applyFill="1" applyBorder="1" applyAlignment="1">
      <alignment horizontal="center" vertical="center" wrapText="1"/>
    </xf>
    <xf numFmtId="43" fontId="3" fillId="2" borderId="2" xfId="2" applyFont="1" applyFill="1" applyBorder="1" applyAlignment="1">
      <alignment horizontal="center" vertical="center" wrapText="1"/>
    </xf>
    <xf numFmtId="43" fontId="3" fillId="2" borderId="13" xfId="2" applyFont="1" applyFill="1" applyBorder="1" applyAlignment="1">
      <alignment horizontal="center" vertical="center" wrapText="1"/>
    </xf>
    <xf numFmtId="44" fontId="2" fillId="35" borderId="2" xfId="53" applyFont="1" applyFill="1" applyBorder="1" applyAlignment="1">
      <alignment horizontal="center" vertical="center" wrapText="1"/>
    </xf>
    <xf numFmtId="44" fontId="2" fillId="35" borderId="13" xfId="53" applyFont="1" applyFill="1" applyBorder="1" applyAlignment="1">
      <alignment horizontal="center" vertical="center" wrapText="1"/>
    </xf>
    <xf numFmtId="44" fontId="3" fillId="0" borderId="17" xfId="53" applyFont="1" applyBorder="1" applyAlignment="1">
      <alignment horizontal="center" vertical="center" wrapText="1"/>
    </xf>
    <xf numFmtId="44" fontId="3" fillId="0" borderId="18" xfId="53" applyFont="1" applyBorder="1" applyAlignment="1">
      <alignment horizontal="center" vertical="center" wrapText="1"/>
    </xf>
    <xf numFmtId="44" fontId="3" fillId="0" borderId="15" xfId="53" applyFont="1" applyBorder="1" applyAlignment="1">
      <alignment horizontal="center" vertical="center" wrapText="1"/>
    </xf>
    <xf numFmtId="44" fontId="3" fillId="0" borderId="19" xfId="53" applyFont="1" applyBorder="1" applyAlignment="1">
      <alignment horizontal="center" vertical="center" wrapText="1"/>
    </xf>
    <xf numFmtId="0" fontId="2" fillId="2" borderId="0" xfId="0" applyFont="1" applyFill="1" applyAlignment="1">
      <alignment horizontal="center" vertical="center"/>
    </xf>
    <xf numFmtId="0" fontId="2" fillId="35" borderId="1" xfId="0" applyFont="1" applyFill="1" applyBorder="1" applyAlignment="1">
      <alignment horizontal="center" vertical="center" wrapText="1"/>
    </xf>
    <xf numFmtId="44" fontId="3" fillId="0" borderId="2" xfId="53" applyFont="1" applyFill="1" applyBorder="1" applyAlignment="1">
      <alignment horizontal="center" vertical="center" wrapText="1"/>
    </xf>
    <xf numFmtId="44" fontId="3" fillId="0" borderId="13" xfId="53" applyFont="1" applyFill="1" applyBorder="1" applyAlignment="1">
      <alignment horizontal="center" vertical="center" wrapText="1"/>
    </xf>
    <xf numFmtId="44" fontId="24" fillId="35" borderId="2" xfId="53" applyFont="1" applyFill="1" applyBorder="1" applyAlignment="1">
      <alignment horizontal="center" vertical="center" wrapText="1"/>
    </xf>
    <xf numFmtId="44" fontId="24" fillId="35" borderId="13" xfId="53" applyFont="1" applyFill="1" applyBorder="1" applyAlignment="1">
      <alignment horizontal="center" vertical="center" wrapText="1"/>
    </xf>
    <xf numFmtId="44" fontId="2" fillId="0" borderId="2" xfId="53" applyFont="1" applyBorder="1" applyAlignment="1">
      <alignment horizontal="center" vertical="center" wrapText="1"/>
    </xf>
    <xf numFmtId="44" fontId="2" fillId="0" borderId="13" xfId="53" applyFont="1" applyBorder="1" applyAlignment="1">
      <alignment horizontal="center" vertical="center" wrapText="1"/>
    </xf>
    <xf numFmtId="0" fontId="2" fillId="0" borderId="1" xfId="0" applyFont="1" applyBorder="1" applyAlignment="1">
      <alignment horizontal="center" vertical="center" wrapText="1"/>
    </xf>
    <xf numFmtId="0" fontId="23" fillId="0" borderId="0" xfId="0" applyFont="1" applyAlignment="1">
      <alignment horizontal="center" vertical="center" wrapText="1"/>
    </xf>
    <xf numFmtId="0" fontId="2" fillId="38" borderId="0" xfId="0" applyFont="1" applyFill="1" applyAlignment="1">
      <alignment horizontal="center" vertical="center"/>
    </xf>
    <xf numFmtId="0" fontId="26" fillId="0" borderId="0" xfId="0" applyFont="1" applyAlignment="1">
      <alignment horizontal="center" vertical="center"/>
    </xf>
    <xf numFmtId="0" fontId="2" fillId="34" borderId="0" xfId="0" applyFont="1" applyFill="1" applyAlignment="1">
      <alignment horizontal="center" vertical="center"/>
    </xf>
    <xf numFmtId="0" fontId="2" fillId="2" borderId="1"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13" xfId="0" applyFont="1" applyFill="1" applyBorder="1" applyAlignment="1">
      <alignment horizontal="center" vertical="center" wrapText="1"/>
    </xf>
    <xf numFmtId="44" fontId="3" fillId="35" borderId="2" xfId="53" applyFont="1" applyFill="1" applyBorder="1" applyAlignment="1">
      <alignment horizontal="center" vertical="center" wrapText="1"/>
    </xf>
    <xf numFmtId="44" fontId="3" fillId="35" borderId="13" xfId="53" applyFont="1" applyFill="1" applyBorder="1" applyAlignment="1">
      <alignment horizontal="center" vertical="center" wrapText="1"/>
    </xf>
    <xf numFmtId="0" fontId="19" fillId="34" borderId="1" xfId="0" applyFont="1" applyFill="1" applyBorder="1" applyAlignment="1">
      <alignment horizontal="center" vertical="center"/>
    </xf>
    <xf numFmtId="0" fontId="27" fillId="34" borderId="1" xfId="0" applyFont="1" applyFill="1" applyBorder="1" applyAlignment="1">
      <alignment horizontal="center" vertical="center" wrapText="1"/>
    </xf>
    <xf numFmtId="0" fontId="27" fillId="34" borderId="1" xfId="0" applyFont="1" applyFill="1" applyBorder="1" applyAlignment="1">
      <alignment horizontal="center" vertical="center"/>
    </xf>
    <xf numFmtId="0" fontId="19" fillId="0" borderId="1" xfId="0" applyFont="1" applyBorder="1" applyAlignment="1">
      <alignment horizontal="left"/>
    </xf>
    <xf numFmtId="14" fontId="19" fillId="0" borderId="1" xfId="0" applyNumberFormat="1" applyFont="1" applyBorder="1" applyAlignment="1">
      <alignment horizontal="center" wrapText="1"/>
    </xf>
    <xf numFmtId="0" fontId="19" fillId="0" borderId="1" xfId="0" applyFont="1" applyBorder="1" applyAlignment="1">
      <alignment horizontal="center" wrapText="1"/>
    </xf>
    <xf numFmtId="0" fontId="19" fillId="0" borderId="1" xfId="0" applyFont="1" applyBorder="1" applyAlignment="1">
      <alignment horizontal="center" vertical="center" wrapText="1"/>
    </xf>
    <xf numFmtId="0" fontId="3" fillId="0" borderId="0" xfId="0" applyFont="1" applyAlignment="1">
      <alignment horizontal="center" vertical="center"/>
    </xf>
    <xf numFmtId="0" fontId="19" fillId="0" borderId="17" xfId="0" applyFont="1" applyBorder="1" applyAlignment="1">
      <alignment horizontal="center" vertical="center" wrapText="1"/>
    </xf>
    <xf numFmtId="0" fontId="19" fillId="0" borderId="12" xfId="0" applyFont="1" applyBorder="1" applyAlignment="1">
      <alignment horizontal="center" vertical="center"/>
    </xf>
    <xf numFmtId="0" fontId="19" fillId="0" borderId="18" xfId="0" applyFont="1" applyBorder="1" applyAlignment="1">
      <alignment horizontal="center" vertical="center"/>
    </xf>
    <xf numFmtId="44" fontId="2" fillId="38" borderId="2" xfId="53" applyFont="1" applyFill="1" applyBorder="1" applyAlignment="1">
      <alignment horizontal="center" vertical="center" wrapText="1"/>
    </xf>
    <xf numFmtId="44" fontId="2" fillId="38" borderId="13" xfId="53" applyFont="1" applyFill="1" applyBorder="1" applyAlignment="1">
      <alignment horizontal="center" vertical="center" wrapText="1"/>
    </xf>
    <xf numFmtId="0" fontId="2" fillId="38" borderId="0" xfId="0" applyFont="1" applyFill="1" applyAlignment="1">
      <alignment horizontal="center" vertical="center" wrapText="1"/>
    </xf>
    <xf numFmtId="43" fontId="2" fillId="35" borderId="2" xfId="2" applyFont="1" applyFill="1" applyBorder="1" applyAlignment="1">
      <alignment horizontal="center" vertical="center" wrapText="1"/>
    </xf>
    <xf numFmtId="43" fontId="2" fillId="35" borderId="13" xfId="2" applyFont="1" applyFill="1" applyBorder="1" applyAlignment="1">
      <alignment horizontal="center" vertical="center" wrapText="1"/>
    </xf>
    <xf numFmtId="0" fontId="23" fillId="0" borderId="1" xfId="0" applyFont="1" applyBorder="1" applyAlignment="1">
      <alignment horizontal="center" vertical="center" wrapText="1"/>
    </xf>
    <xf numFmtId="0" fontId="32" fillId="44" borderId="1" xfId="54" applyFont="1" applyFill="1" applyBorder="1" applyAlignment="1">
      <alignment horizontal="center" vertical="center"/>
    </xf>
    <xf numFmtId="0" fontId="29" fillId="37" borderId="15" xfId="54" applyFont="1" applyFill="1" applyBorder="1" applyAlignment="1">
      <alignment horizontal="center" vertical="center"/>
    </xf>
    <xf numFmtId="0" fontId="29" fillId="37" borderId="16" xfId="54" applyFont="1" applyFill="1" applyBorder="1" applyAlignment="1">
      <alignment horizontal="center" vertical="center"/>
    </xf>
    <xf numFmtId="0" fontId="0" fillId="0" borderId="0" xfId="0" applyAlignment="1">
      <alignment horizontal="center"/>
    </xf>
    <xf numFmtId="0" fontId="29" fillId="37" borderId="19" xfId="54" applyFont="1" applyFill="1" applyBorder="1" applyAlignment="1">
      <alignment horizontal="center" vertical="center"/>
    </xf>
    <xf numFmtId="0" fontId="25" fillId="0" borderId="0" xfId="0" applyFont="1" applyAlignment="1">
      <alignment horizontal="center" vertical="center" wrapText="1"/>
    </xf>
    <xf numFmtId="0" fontId="4" fillId="0" borderId="0" xfId="58" applyFont="1" applyAlignment="1">
      <alignment horizontal="center" vertical="center" wrapText="1"/>
    </xf>
    <xf numFmtId="0" fontId="40" fillId="0" borderId="0" xfId="58" applyAlignment="1">
      <alignment horizontal="center" vertical="center"/>
    </xf>
    <xf numFmtId="0" fontId="42" fillId="49" borderId="1" xfId="61" applyFont="1" applyFill="1" applyBorder="1" applyAlignment="1">
      <alignment horizontal="center" vertical="center" wrapText="1"/>
    </xf>
    <xf numFmtId="0" fontId="43" fillId="50" borderId="1" xfId="61" applyFont="1" applyFill="1" applyBorder="1" applyAlignment="1">
      <alignment horizontal="left" vertical="center" wrapText="1"/>
    </xf>
    <xf numFmtId="0" fontId="44" fillId="50" borderId="1" xfId="61" applyFont="1" applyFill="1" applyBorder="1" applyAlignment="1">
      <alignment horizontal="left" vertical="center" wrapText="1"/>
    </xf>
    <xf numFmtId="0" fontId="42" fillId="49" borderId="2" xfId="61" applyFont="1" applyFill="1" applyBorder="1" applyAlignment="1">
      <alignment horizontal="center" vertical="center" wrapText="1"/>
    </xf>
    <xf numFmtId="0" fontId="42" fillId="49" borderId="14" xfId="61" applyFont="1" applyFill="1" applyBorder="1" applyAlignment="1">
      <alignment horizontal="center" vertical="center" wrapText="1"/>
    </xf>
    <xf numFmtId="0" fontId="42" fillId="49" borderId="13" xfId="61" applyFont="1" applyFill="1" applyBorder="1" applyAlignment="1">
      <alignment horizontal="center" vertical="center" wrapText="1"/>
    </xf>
    <xf numFmtId="0" fontId="43" fillId="50" borderId="2" xfId="61" applyFont="1" applyFill="1" applyBorder="1" applyAlignment="1">
      <alignment horizontal="center" vertical="center" wrapText="1"/>
    </xf>
    <xf numFmtId="0" fontId="43" fillId="50" borderId="14" xfId="61" applyFont="1" applyFill="1" applyBorder="1" applyAlignment="1">
      <alignment horizontal="center" vertical="center" wrapText="1"/>
    </xf>
    <xf numFmtId="0" fontId="43" fillId="50" borderId="13" xfId="61" applyFont="1" applyFill="1" applyBorder="1" applyAlignment="1">
      <alignment horizontal="center" vertical="center" wrapText="1"/>
    </xf>
    <xf numFmtId="0" fontId="42" fillId="49" borderId="38" xfId="61" applyFont="1" applyFill="1" applyBorder="1" applyAlignment="1">
      <alignment horizontal="center" vertical="center" wrapText="1"/>
    </xf>
    <xf numFmtId="0" fontId="42" fillId="49" borderId="37" xfId="61" applyFont="1" applyFill="1" applyBorder="1" applyAlignment="1">
      <alignment horizontal="center" vertical="center" wrapText="1"/>
    </xf>
    <xf numFmtId="0" fontId="42" fillId="49" borderId="46" xfId="61" applyFont="1" applyFill="1" applyBorder="1" applyAlignment="1">
      <alignment horizontal="center" vertical="center" wrapText="1"/>
    </xf>
    <xf numFmtId="0" fontId="4" fillId="0" borderId="38" xfId="58" applyFont="1" applyBorder="1" applyAlignment="1">
      <alignment horizontal="center"/>
    </xf>
    <xf numFmtId="0" fontId="4" fillId="0" borderId="37" xfId="58" applyFont="1" applyBorder="1" applyAlignment="1">
      <alignment horizontal="center"/>
    </xf>
    <xf numFmtId="0" fontId="4" fillId="0" borderId="45" xfId="58" applyFont="1" applyBorder="1" applyAlignment="1">
      <alignment horizontal="center"/>
    </xf>
    <xf numFmtId="0" fontId="42" fillId="53" borderId="1" xfId="61" applyFont="1" applyFill="1" applyBorder="1" applyAlignment="1">
      <alignment horizontal="center" vertical="center" wrapText="1"/>
    </xf>
    <xf numFmtId="0" fontId="42" fillId="50" borderId="1" xfId="61" applyFont="1" applyFill="1" applyBorder="1" applyAlignment="1">
      <alignment horizontal="center" vertical="center" wrapText="1"/>
    </xf>
    <xf numFmtId="0" fontId="38" fillId="0" borderId="42" xfId="58" applyFont="1" applyBorder="1" applyAlignment="1">
      <alignment horizontal="center"/>
    </xf>
    <xf numFmtId="0" fontId="38" fillId="0" borderId="23" xfId="58" applyFont="1" applyBorder="1" applyAlignment="1">
      <alignment horizontal="center"/>
    </xf>
    <xf numFmtId="0" fontId="38" fillId="0" borderId="43" xfId="58" applyFont="1" applyBorder="1" applyAlignment="1">
      <alignment horizontal="center"/>
    </xf>
    <xf numFmtId="0" fontId="39" fillId="51" borderId="24" xfId="58" applyFont="1" applyFill="1" applyBorder="1" applyAlignment="1">
      <alignment horizontal="center"/>
    </xf>
    <xf numFmtId="0" fontId="39" fillId="51" borderId="26" xfId="58" applyFont="1" applyFill="1" applyBorder="1" applyAlignment="1">
      <alignment horizontal="center"/>
    </xf>
    <xf numFmtId="0" fontId="39" fillId="51" borderId="25" xfId="58" applyFont="1" applyFill="1" applyBorder="1" applyAlignment="1">
      <alignment horizontal="center"/>
    </xf>
    <xf numFmtId="0" fontId="4" fillId="0" borderId="24" xfId="58" applyFont="1" applyBorder="1" applyAlignment="1">
      <alignment horizontal="center"/>
    </xf>
    <xf numFmtId="0" fontId="4" fillId="0" borderId="26" xfId="58" applyFont="1" applyBorder="1" applyAlignment="1">
      <alignment horizontal="center"/>
    </xf>
    <xf numFmtId="0" fontId="4" fillId="0" borderId="25" xfId="58" applyFont="1" applyBorder="1" applyAlignment="1">
      <alignment horizontal="center"/>
    </xf>
    <xf numFmtId="44" fontId="40" fillId="0" borderId="44" xfId="60" applyFont="1" applyBorder="1" applyAlignment="1">
      <alignment horizontal="center"/>
    </xf>
    <xf numFmtId="49" fontId="4" fillId="0" borderId="1" xfId="58" applyNumberFormat="1" applyFont="1" applyBorder="1" applyAlignment="1">
      <alignment horizontal="center"/>
    </xf>
    <xf numFmtId="0" fontId="4" fillId="0" borderId="1" xfId="58" applyFont="1" applyBorder="1" applyAlignment="1">
      <alignment horizontal="center"/>
    </xf>
    <xf numFmtId="0" fontId="4" fillId="0" borderId="34" xfId="58" applyFont="1" applyBorder="1" applyAlignment="1">
      <alignment horizontal="center"/>
    </xf>
    <xf numFmtId="0" fontId="38" fillId="0" borderId="24" xfId="58" applyFont="1" applyBorder="1" applyAlignment="1">
      <alignment horizontal="center"/>
    </xf>
    <xf numFmtId="0" fontId="38" fillId="0" borderId="26" xfId="58" applyFont="1" applyBorder="1" applyAlignment="1">
      <alignment horizontal="center"/>
    </xf>
    <xf numFmtId="0" fontId="38" fillId="0" borderId="25" xfId="58" applyFont="1" applyBorder="1" applyAlignment="1">
      <alignment horizontal="center"/>
    </xf>
    <xf numFmtId="0" fontId="45" fillId="50" borderId="2" xfId="61" applyFont="1" applyFill="1" applyBorder="1" applyAlignment="1">
      <alignment horizontal="left" vertical="center" wrapText="1"/>
    </xf>
    <xf numFmtId="0" fontId="44" fillId="50" borderId="14" xfId="61" applyFont="1" applyFill="1" applyBorder="1" applyAlignment="1">
      <alignment horizontal="left" vertical="center" wrapText="1"/>
    </xf>
    <xf numFmtId="0" fontId="44" fillId="50" borderId="13" xfId="61" applyFont="1" applyFill="1" applyBorder="1" applyAlignment="1">
      <alignment horizontal="left" vertical="center" wrapText="1"/>
    </xf>
    <xf numFmtId="0" fontId="45" fillId="50" borderId="14" xfId="61" applyFont="1" applyFill="1" applyBorder="1" applyAlignment="1">
      <alignment horizontal="left" vertical="center" wrapText="1"/>
    </xf>
    <xf numFmtId="0" fontId="45" fillId="50" borderId="13" xfId="61" applyFont="1" applyFill="1" applyBorder="1" applyAlignment="1">
      <alignment horizontal="left" vertical="center" wrapText="1"/>
    </xf>
    <xf numFmtId="0" fontId="38" fillId="0" borderId="0" xfId="58" applyFont="1" applyAlignment="1">
      <alignment horizontal="center" vertical="center" wrapText="1"/>
    </xf>
    <xf numFmtId="0" fontId="37" fillId="51" borderId="0" xfId="58" applyFont="1" applyFill="1" applyAlignment="1">
      <alignment horizontal="center"/>
    </xf>
    <xf numFmtId="0" fontId="38" fillId="0" borderId="36" xfId="58" applyFont="1" applyBorder="1" applyAlignment="1">
      <alignment horizontal="center"/>
    </xf>
    <xf numFmtId="0" fontId="38" fillId="0" borderId="37" xfId="58" applyFont="1" applyBorder="1" applyAlignment="1">
      <alignment horizontal="center"/>
    </xf>
    <xf numFmtId="0" fontId="38" fillId="0" borderId="45" xfId="58" applyFont="1" applyBorder="1" applyAlignment="1">
      <alignment horizontal="center"/>
    </xf>
    <xf numFmtId="9" fontId="40" fillId="0" borderId="44" xfId="60" applyNumberFormat="1" applyFont="1" applyBorder="1" applyAlignment="1">
      <alignment horizontal="center"/>
    </xf>
    <xf numFmtId="0" fontId="48" fillId="0" borderId="27" xfId="0" applyFont="1" applyBorder="1" applyAlignment="1">
      <alignment horizontal="center" vertical="center" wrapText="1"/>
    </xf>
    <xf numFmtId="0" fontId="48" fillId="0" borderId="28" xfId="0" applyFont="1" applyBorder="1" applyAlignment="1">
      <alignment horizontal="left" vertical="center" wrapText="1"/>
    </xf>
    <xf numFmtId="0" fontId="48" fillId="0" borderId="29" xfId="0" applyFont="1" applyBorder="1" applyAlignment="1">
      <alignment horizontal="left" vertical="center" wrapText="1"/>
    </xf>
    <xf numFmtId="0" fontId="48" fillId="0" borderId="30" xfId="0" applyFont="1" applyBorder="1" applyAlignment="1">
      <alignment horizontal="left" vertical="center" wrapText="1"/>
    </xf>
    <xf numFmtId="0" fontId="39" fillId="0" borderId="0" xfId="58" applyFont="1" applyAlignment="1">
      <alignment horizontal="center"/>
    </xf>
    <xf numFmtId="0" fontId="41" fillId="54" borderId="28" xfId="0" applyFont="1" applyFill="1" applyBorder="1" applyAlignment="1">
      <alignment horizontal="center" vertical="center"/>
    </xf>
    <xf numFmtId="0" fontId="41" fillId="54" borderId="29" xfId="0" applyFont="1" applyFill="1" applyBorder="1" applyAlignment="1">
      <alignment horizontal="center" vertical="center"/>
    </xf>
    <xf numFmtId="0" fontId="41" fillId="54" borderId="30" xfId="0" applyFont="1" applyFill="1" applyBorder="1" applyAlignment="1">
      <alignment horizontal="center" vertical="center"/>
    </xf>
    <xf numFmtId="0" fontId="41" fillId="47" borderId="28" xfId="0" applyFont="1" applyFill="1" applyBorder="1" applyAlignment="1">
      <alignment horizontal="center" vertical="center"/>
    </xf>
    <xf numFmtId="0" fontId="41" fillId="47" borderId="29" xfId="0" applyFont="1" applyFill="1" applyBorder="1" applyAlignment="1">
      <alignment horizontal="center" vertical="center"/>
    </xf>
    <xf numFmtId="0" fontId="41" fillId="47" borderId="30" xfId="0" applyFont="1" applyFill="1" applyBorder="1" applyAlignment="1">
      <alignment horizontal="center" vertical="center"/>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27" xfId="0" applyFont="1" applyBorder="1" applyAlignment="1">
      <alignment horizontal="left" vertical="center"/>
    </xf>
    <xf numFmtId="44" fontId="50" fillId="0" borderId="0" xfId="0" applyNumberFormat="1" applyFont="1"/>
  </cellXfs>
  <cellStyles count="65">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Euro" xfId="59" xr:uid="{C65292E7-F7CB-47AA-90B1-B22B0AF3A679}"/>
    <cellStyle name="Moeda" xfId="53" builtinId="4"/>
    <cellStyle name="Moeda 2" xfId="60" xr:uid="{26FDFC8E-1835-4593-8489-25D49C1C4CAA}"/>
    <cellStyle name="Moeda 3" xfId="55" xr:uid="{00000000-0005-0000-0000-00001F000000}"/>
    <cellStyle name="Moeda 5" xfId="56" xr:uid="{00000000-0005-0000-0000-000020000000}"/>
    <cellStyle name="Neutro" xfId="13" builtinId="28" customBuiltin="1"/>
    <cellStyle name="Normal" xfId="0" builtinId="0"/>
    <cellStyle name="Normal 2" xfId="48" xr:uid="{00000000-0005-0000-0000-000023000000}"/>
    <cellStyle name="Normal 2 2" xfId="61" xr:uid="{75D3965B-5E07-4163-A5BD-2AAE723BFF2D}"/>
    <cellStyle name="Normal 3" xfId="54" xr:uid="{00000000-0005-0000-0000-000024000000}"/>
    <cellStyle name="Normal 4" xfId="57" xr:uid="{00000000-0005-0000-0000-000025000000}"/>
    <cellStyle name="Normal 5" xfId="58" xr:uid="{C85A0623-15EA-4B59-B69D-3F8F33508A13}"/>
    <cellStyle name="Nota" xfId="20" builtinId="10" customBuiltin="1"/>
    <cellStyle name="Porcentagem" xfId="1" builtinId="5"/>
    <cellStyle name="Porcentagem 2" xfId="62" xr:uid="{76EF24AE-5EF4-4800-BA97-67CC3EF93FD8}"/>
    <cellStyle name="Porcentagem 3 2" xfId="63" xr:uid="{6CC12DF8-EA07-4280-BA7F-D4D6BBDBFB61}"/>
    <cellStyle name="Ruim" xfId="12" builtinId="27" customBuiltin="1"/>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32000000}"/>
    <cellStyle name="Vírgula 3" xfId="5" xr:uid="{00000000-0005-0000-0000-000033000000}"/>
    <cellStyle name="Vírgula 3 2" xfId="51" xr:uid="{00000000-0005-0000-0000-000034000000}"/>
    <cellStyle name="Vírgula 4" xfId="4" xr:uid="{00000000-0005-0000-0000-000035000000}"/>
    <cellStyle name="Vírgula 4 2" xfId="50" xr:uid="{00000000-0005-0000-0000-000036000000}"/>
    <cellStyle name="Vírgula 5" xfId="47" xr:uid="{00000000-0005-0000-0000-000037000000}"/>
    <cellStyle name="Vírgula 5 2" xfId="52" xr:uid="{00000000-0005-0000-0000-000038000000}"/>
    <cellStyle name="Vírgula 6" xfId="49" xr:uid="{00000000-0005-0000-0000-000039000000}"/>
    <cellStyle name="Vírgula 7" xfId="64" xr:uid="{4A830228-3D0B-478C-BFA8-301B99220A4E}"/>
  </cellStyles>
  <dxfs count="0"/>
  <tableStyles count="0" defaultTableStyle="TableStyleMedium2" defaultPivotStyle="PivotStyleLight16"/>
  <colors>
    <mruColors>
      <color rgb="FFDDAAA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Comercial\2-Tbi\Prop-p&#250;blica\CORREIOS\MG-PE%2019000015-2019-Vigil&#226;ncia\Proposta\5-Planilha%20e%20proposta%20-%20Lote%20&#250;nico%20-%20Ajuste%20Intrajornada%20-%20Envio%20Exce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BERTURA 44 HS)"/>
      <sheetName val="Base"/>
      <sheetName val="Lote Unitário"/>
      <sheetName val="(1) 44 HS"/>
      <sheetName val="(2) 12X36 N"/>
      <sheetName val="(3) 12X36 D"/>
      <sheetName val="Global"/>
      <sheetName val="Uniforme-Equip"/>
      <sheetName val="Média de VT"/>
      <sheetName val="Relação de ISSQN"/>
      <sheetName val="Dados para Cadastro"/>
    </sheetNames>
    <sheetDataSet>
      <sheetData sheetId="0"/>
      <sheetData sheetId="1">
        <row r="10">
          <cell r="A10">
            <v>1</v>
          </cell>
          <cell r="B10">
            <v>4</v>
          </cell>
          <cell r="C10" t="str">
            <v>Serviço de Vigilância Armada, na função de Vigilante – 44 horas semanais – Período Diurno – Segunda a Sexta-feira - [rubricas da planilha de custos, com exceção daquelas com pagamento pelo fato gerador]</v>
          </cell>
          <cell r="D10" t="str">
            <v>Serviço de Vigilância Armada, na função de Vigilante – 44 horas semanais – Período Diurno – Segunda a Sexta-feira</v>
          </cell>
          <cell r="E10" t="str">
            <v>Posto</v>
          </cell>
          <cell r="F10">
            <v>201</v>
          </cell>
          <cell r="G10">
            <v>22</v>
          </cell>
          <cell r="H10" t="str">
            <v>Vigilante Diurno</v>
          </cell>
          <cell r="I10">
            <v>1699.28</v>
          </cell>
          <cell r="J10">
            <v>0.6</v>
          </cell>
          <cell r="K10">
            <v>4.3499999999999996</v>
          </cell>
          <cell r="L10">
            <v>29.16</v>
          </cell>
          <cell r="M10">
            <v>0</v>
          </cell>
          <cell r="N10">
            <v>169.01</v>
          </cell>
          <cell r="O10">
            <v>0</v>
          </cell>
          <cell r="P10">
            <v>3.5000000000000003E-2</v>
          </cell>
          <cell r="Q10">
            <v>3.1699999999999999E-2</v>
          </cell>
          <cell r="R10">
            <v>1.4999999999999999E-2</v>
          </cell>
          <cell r="S10">
            <v>1480.47</v>
          </cell>
        </row>
        <row r="11">
          <cell r="A11">
            <v>2</v>
          </cell>
          <cell r="B11">
            <v>4</v>
          </cell>
          <cell r="C11" t="str">
            <v>Serviço de Vigilância Armada, na função de Vigilante – Escala 12x36 – Período Noturno – Domingo à Sábado - [rubricas da planilha de custos, com exceção daquelas com pagamento pelo fato gerador]</v>
          </cell>
          <cell r="D11" t="str">
            <v>Serviço de Vigilância Armada, na função de Vigilante – Escala 12x36 – Período Noturno – Domingo à Sábado</v>
          </cell>
          <cell r="E11" t="str">
            <v>Postos</v>
          </cell>
          <cell r="F11">
            <v>6</v>
          </cell>
          <cell r="G11">
            <v>15.21</v>
          </cell>
          <cell r="H11" t="str">
            <v>Vigilante Noturno</v>
          </cell>
          <cell r="I11">
            <v>1699.28</v>
          </cell>
          <cell r="J11">
            <v>0.6</v>
          </cell>
          <cell r="K11">
            <v>4.3499999999999996</v>
          </cell>
          <cell r="L11">
            <v>29.16</v>
          </cell>
          <cell r="M11">
            <v>0</v>
          </cell>
          <cell r="N11">
            <v>42.25</v>
          </cell>
          <cell r="O11">
            <v>0</v>
          </cell>
          <cell r="P11">
            <v>3.5000000000000003E-2</v>
          </cell>
          <cell r="Q11">
            <v>3.1699999999999999E-2</v>
          </cell>
          <cell r="R11">
            <v>1.4999999999999999E-2</v>
          </cell>
          <cell r="S11">
            <v>1195.48</v>
          </cell>
        </row>
        <row r="12">
          <cell r="A12">
            <v>3</v>
          </cell>
          <cell r="B12">
            <v>4</v>
          </cell>
          <cell r="C12" t="str">
            <v>Serviço de Vigilância Armada, na função de Vigilante – Escala 12x36 – Período Diurno – Domingo a Sábado - [rubricas da planilha de custos, com exceção daquelas com pagamento pelo fato gerador]</v>
          </cell>
          <cell r="D12" t="str">
            <v>Serviço de Vigilância Armada, na função de Vigilante – Escala 12x36 – Período Diurno – Domingo a Sábado</v>
          </cell>
          <cell r="E12" t="str">
            <v>Posto</v>
          </cell>
          <cell r="F12">
            <v>6</v>
          </cell>
          <cell r="G12">
            <v>15.21</v>
          </cell>
          <cell r="H12" t="str">
            <v>Vigilante Diurno</v>
          </cell>
          <cell r="I12">
            <v>1699.28</v>
          </cell>
          <cell r="J12">
            <v>0.6</v>
          </cell>
          <cell r="K12">
            <v>4.3499999999999996</v>
          </cell>
          <cell r="L12">
            <v>29.16</v>
          </cell>
          <cell r="M12">
            <v>0</v>
          </cell>
          <cell r="N12">
            <v>42.25</v>
          </cell>
          <cell r="O12">
            <v>0</v>
          </cell>
          <cell r="P12">
            <v>3.5000000000000003E-2</v>
          </cell>
          <cell r="Q12">
            <v>3.1699999999999999E-2</v>
          </cell>
          <cell r="R12">
            <v>1.4999999999999999E-2</v>
          </cell>
          <cell r="S12">
            <v>1195.48</v>
          </cell>
        </row>
        <row r="13">
          <cell r="A13">
            <v>4</v>
          </cell>
          <cell r="B13">
            <v>2</v>
          </cell>
          <cell r="C13" t="str">
            <v>Serviço de Vigilância Armada, na  função de Vigilante – 44 horas semanais  – Período Diurno – Segunda a Sexta-feira - [rubricas da planilha de custos, com exceção daquelas com pagamento pelo fato gerador]</v>
          </cell>
          <cell r="D13" t="str">
            <v>Serviço de Vigilância Armada, na função de Vigilante – 44 horas semanais – Período Diurno – Segunda a Sexta-feira</v>
          </cell>
          <cell r="E13" t="str">
            <v>Postos</v>
          </cell>
          <cell r="F13">
            <v>289</v>
          </cell>
          <cell r="G13">
            <v>22</v>
          </cell>
          <cell r="H13" t="str">
            <v>Vigilante Diurno</v>
          </cell>
          <cell r="I13">
            <v>1699.28</v>
          </cell>
          <cell r="J13">
            <v>0.6</v>
          </cell>
          <cell r="K13">
            <v>4.3499999999999996</v>
          </cell>
          <cell r="L13">
            <v>29.16</v>
          </cell>
          <cell r="M13">
            <v>0</v>
          </cell>
          <cell r="N13">
            <v>169.01</v>
          </cell>
          <cell r="O13">
            <v>0</v>
          </cell>
          <cell r="P13">
            <v>3.5000000000000003E-2</v>
          </cell>
          <cell r="Q13">
            <v>3.1699999999999999E-2</v>
          </cell>
          <cell r="R13">
            <v>1.4999999999999999E-2</v>
          </cell>
          <cell r="S13">
            <v>1480.47</v>
          </cell>
        </row>
        <row r="14">
          <cell r="A14">
            <v>5</v>
          </cell>
          <cell r="B14">
            <v>2</v>
          </cell>
          <cell r="C14" t="str">
            <v>Serviço de Vigilância Armada, na  função de Vigilante – Escala 12x36 – Período Noturno – Domingo à Sábado -  [rubricas da planilha de custos, com exceção daquelas com pagamento pelo fato gerador]</v>
          </cell>
          <cell r="D14" t="str">
            <v>Serviço de Vigilância Armada, na função de Vigilante – Escala 12x36 – Período Noturno – Domingo à Sábado</v>
          </cell>
          <cell r="E14" t="str">
            <v>Postos</v>
          </cell>
          <cell r="F14">
            <v>5</v>
          </cell>
          <cell r="G14">
            <v>15.21</v>
          </cell>
          <cell r="H14" t="str">
            <v>Vigilante Noturno</v>
          </cell>
          <cell r="I14">
            <v>1699.28</v>
          </cell>
          <cell r="J14">
            <v>0.6</v>
          </cell>
          <cell r="K14">
            <v>4.3499999999999996</v>
          </cell>
          <cell r="L14">
            <v>29.16</v>
          </cell>
          <cell r="M14">
            <v>0</v>
          </cell>
          <cell r="N14" t="e">
            <v>#DIV/0!</v>
          </cell>
          <cell r="O14">
            <v>0</v>
          </cell>
          <cell r="P14">
            <v>3.5000000000000003E-2</v>
          </cell>
          <cell r="Q14">
            <v>3.1699999999999999E-2</v>
          </cell>
          <cell r="R14">
            <v>1.4999999999999999E-2</v>
          </cell>
          <cell r="S14">
            <v>1195.48</v>
          </cell>
        </row>
        <row r="15">
          <cell r="A15">
            <v>6</v>
          </cell>
          <cell r="B15">
            <v>2</v>
          </cell>
          <cell r="C15" t="str">
            <v>Serviço de Vigilância Armada, na  função de Vigilante – Escala 12x36 – Período Noturno – Domingo à Sábado</v>
          </cell>
          <cell r="D15" t="str">
            <v>Serviço de Vigilância Armada, na função de Vigilante – Escala 12x36 – Período Diurno – Domingo a Sábado</v>
          </cell>
          <cell r="E15" t="str">
            <v>Postos</v>
          </cell>
          <cell r="F15">
            <v>4</v>
          </cell>
          <cell r="G15">
            <v>15.21</v>
          </cell>
          <cell r="H15" t="str">
            <v>Vigilante Diurno</v>
          </cell>
          <cell r="I15">
            <v>1699.28</v>
          </cell>
          <cell r="J15">
            <v>0.6</v>
          </cell>
          <cell r="K15">
            <v>4.3499999999999996</v>
          </cell>
          <cell r="L15">
            <v>29.16</v>
          </cell>
          <cell r="M15">
            <v>0</v>
          </cell>
          <cell r="N15" t="e">
            <v>#DIV/0!</v>
          </cell>
          <cell r="O15">
            <v>0</v>
          </cell>
          <cell r="P15">
            <v>3.5000000000000003E-2</v>
          </cell>
          <cell r="Q15">
            <v>3.1699999999999999E-2</v>
          </cell>
          <cell r="R15">
            <v>1.4999999999999999E-2</v>
          </cell>
          <cell r="S15">
            <v>1195.48</v>
          </cell>
        </row>
        <row r="16">
          <cell r="A16">
            <v>7</v>
          </cell>
          <cell r="B16">
            <v>3</v>
          </cell>
          <cell r="C16" t="str">
            <v>Serviço de Vigilância Armada, na função de Vigilante – 44 horas semanais – Período Diurno – Segunda a Sexta-feira - [rubricas da planilha de custos, com exceção daquelas com pagamento pelo fato gerador]</v>
          </cell>
          <cell r="D16" t="str">
            <v>Serviço de Vigilância Armada, na função de Vigilante – 44 horas semanais – Período Diurno– Segunda a Sexta-feira</v>
          </cell>
          <cell r="E16" t="str">
            <v>Postos</v>
          </cell>
          <cell r="F16">
            <v>257</v>
          </cell>
          <cell r="G16">
            <v>22</v>
          </cell>
          <cell r="H16" t="str">
            <v>Vigilante Diurno</v>
          </cell>
          <cell r="I16">
            <v>1699.28</v>
          </cell>
          <cell r="J16">
            <v>0.6</v>
          </cell>
          <cell r="K16">
            <v>4.3499999999999996</v>
          </cell>
          <cell r="L16">
            <v>29.16</v>
          </cell>
          <cell r="M16">
            <v>0</v>
          </cell>
          <cell r="N16">
            <v>169.01</v>
          </cell>
          <cell r="O16">
            <v>0</v>
          </cell>
          <cell r="P16">
            <v>3.5000000000000003E-2</v>
          </cell>
          <cell r="Q16">
            <v>3.1699999999999999E-2</v>
          </cell>
          <cell r="R16">
            <v>1.4999999999999999E-2</v>
          </cell>
          <cell r="S16">
            <v>1480.47</v>
          </cell>
        </row>
        <row r="17">
          <cell r="A17">
            <v>8</v>
          </cell>
          <cell r="B17">
            <v>3</v>
          </cell>
          <cell r="C17" t="str">
            <v>Serviço de Vigilância Armada, na função de Vigilante – Escala 12x36 – Período Noturno – Domingo à Sábado - [rubricas da planilha de custos, com exceção daquelas com pagamento pelo fato gerador]</v>
          </cell>
          <cell r="D17" t="str">
            <v>Serviço de Vigilância Armada, na função de Vigilante – Escala 12x36 – Período Noturno – Domingo à Sábado</v>
          </cell>
          <cell r="E17" t="str">
            <v>Postos</v>
          </cell>
          <cell r="F17">
            <v>11</v>
          </cell>
          <cell r="G17">
            <v>15.21</v>
          </cell>
          <cell r="H17" t="str">
            <v>Vigilante Noturno</v>
          </cell>
          <cell r="I17">
            <v>1699.28</v>
          </cell>
          <cell r="J17">
            <v>0.6</v>
          </cell>
          <cell r="K17">
            <v>4.3499999999999996</v>
          </cell>
          <cell r="L17">
            <v>29.16</v>
          </cell>
          <cell r="M17">
            <v>0</v>
          </cell>
          <cell r="N17" t="e">
            <v>#DIV/0!</v>
          </cell>
          <cell r="O17">
            <v>0</v>
          </cell>
          <cell r="P17">
            <v>3.5000000000000003E-2</v>
          </cell>
          <cell r="Q17">
            <v>3.1699999999999999E-2</v>
          </cell>
          <cell r="R17">
            <v>1.4999999999999999E-2</v>
          </cell>
          <cell r="S17">
            <v>1195.48</v>
          </cell>
        </row>
        <row r="18">
          <cell r="A18">
            <v>9</v>
          </cell>
          <cell r="B18">
            <v>3</v>
          </cell>
          <cell r="C18" t="str">
            <v>Serviço de Vigilância Armada, na função de Vigilante – Escala 12x36 – Período Diurno – Domingo a Sábado - [rubricas da planilha de custos, com exceção daquelas com pagamento pelo fato gerador]</v>
          </cell>
          <cell r="D18" t="str">
            <v>Serviço de Vigilância Armada, na função de Vigilante – Escala 12x36 – Período Diurno – Domingo a Sábado</v>
          </cell>
          <cell r="E18" t="str">
            <v>Postos</v>
          </cell>
          <cell r="F18">
            <v>7</v>
          </cell>
          <cell r="G18">
            <v>15.21</v>
          </cell>
          <cell r="H18" t="str">
            <v>Vigilante Diurno</v>
          </cell>
          <cell r="I18">
            <v>1699.28</v>
          </cell>
          <cell r="J18">
            <v>0.6</v>
          </cell>
          <cell r="K18">
            <v>4.3499999999999996</v>
          </cell>
          <cell r="L18">
            <v>29.16</v>
          </cell>
          <cell r="M18">
            <v>0</v>
          </cell>
          <cell r="N18" t="e">
            <v>#DIV/0!</v>
          </cell>
          <cell r="O18">
            <v>0</v>
          </cell>
          <cell r="P18">
            <v>3.5000000000000003E-2</v>
          </cell>
          <cell r="Q18">
            <v>3.1699999999999999E-2</v>
          </cell>
          <cell r="R18">
            <v>1.4999999999999999E-2</v>
          </cell>
          <cell r="S18">
            <v>1195.48</v>
          </cell>
        </row>
        <row r="19">
          <cell r="A19">
            <v>10</v>
          </cell>
          <cell r="B19">
            <v>4</v>
          </cell>
          <cell r="C19" t="str">
            <v>Serviço de Vigilância Armada, na função de Vigilante – 44 horas semanais – Período Diurno – Segunda a Sexta-feira - [rubricas da planilha de custos, com exceção daquelas com pagamento pelo fato gerador]</v>
          </cell>
          <cell r="D19" t="str">
            <v>Serviço de Vigilância Armada, na função de Vigilante – 44 horas semanais – Período Diurno– Segunda a Sexta-feira</v>
          </cell>
          <cell r="E19" t="str">
            <v>Postos</v>
          </cell>
          <cell r="F19">
            <v>164</v>
          </cell>
          <cell r="G19">
            <v>22</v>
          </cell>
          <cell r="H19" t="str">
            <v>Vigilante Diurno</v>
          </cell>
          <cell r="I19">
            <v>1699.28</v>
          </cell>
          <cell r="J19">
            <v>0.6</v>
          </cell>
          <cell r="K19">
            <v>4.3499999999999996</v>
          </cell>
          <cell r="L19">
            <v>29.16</v>
          </cell>
          <cell r="M19">
            <v>0</v>
          </cell>
          <cell r="N19">
            <v>169.01</v>
          </cell>
          <cell r="O19">
            <v>0</v>
          </cell>
          <cell r="P19">
            <v>3.5000000000000003E-2</v>
          </cell>
          <cell r="Q19">
            <v>3.1699999999999999E-2</v>
          </cell>
          <cell r="R19">
            <v>1.4999999999999999E-2</v>
          </cell>
          <cell r="S19">
            <v>1480.47</v>
          </cell>
        </row>
        <row r="20">
          <cell r="A20">
            <v>11</v>
          </cell>
          <cell r="B20">
            <v>4</v>
          </cell>
          <cell r="C20" t="str">
            <v>Serviço de Vigilância Armada, na função de Vigilante – Escala 12x36 – Período Noturno– Domingo à Sábado - [rubricas da planilha de custos, com exceção daquelas com pagamento pelo fato gerador]</v>
          </cell>
          <cell r="D20" t="str">
            <v>Serviço de Vigilância Armada, na função de Vigilante – Escala 12x36 – Período Noturno – Domingo à Sábado</v>
          </cell>
          <cell r="E20" t="str">
            <v>Postos</v>
          </cell>
          <cell r="F20">
            <v>11</v>
          </cell>
          <cell r="G20">
            <v>15.21</v>
          </cell>
          <cell r="H20" t="str">
            <v>Vigilante Noturno</v>
          </cell>
          <cell r="I20">
            <v>1699.28</v>
          </cell>
          <cell r="J20">
            <v>0.6</v>
          </cell>
          <cell r="K20">
            <v>4.3499999999999996</v>
          </cell>
          <cell r="L20">
            <v>29.16</v>
          </cell>
          <cell r="M20">
            <v>0</v>
          </cell>
          <cell r="N20" t="e">
            <v>#DIV/0!</v>
          </cell>
          <cell r="O20">
            <v>0</v>
          </cell>
          <cell r="P20">
            <v>3.5000000000000003E-2</v>
          </cell>
          <cell r="Q20">
            <v>3.1699999999999999E-2</v>
          </cell>
          <cell r="R20">
            <v>1.4999999999999999E-2</v>
          </cell>
          <cell r="S20">
            <v>1195.48</v>
          </cell>
        </row>
        <row r="21">
          <cell r="A21">
            <v>12</v>
          </cell>
          <cell r="B21">
            <v>4</v>
          </cell>
          <cell r="C21" t="str">
            <v>Serviço de Vigilância Armada, na função de Vigilante – Escala 12x36 – Período Diurno – Domingo a Sábado - [rubricas da planilha de custos, com exceção daquelas com pagamento pelo fato gerador]</v>
          </cell>
          <cell r="D21" t="str">
            <v>Serviço de Vigilância Armada, na função de Vigilante – Escala 12x36 – Período Diurno – Domingo a Sábado</v>
          </cell>
          <cell r="E21" t="str">
            <v>Postos</v>
          </cell>
          <cell r="F21">
            <v>8</v>
          </cell>
          <cell r="G21">
            <v>15.21</v>
          </cell>
          <cell r="H21" t="str">
            <v>Vigilante Diurno</v>
          </cell>
          <cell r="I21">
            <v>1699.28</v>
          </cell>
          <cell r="J21">
            <v>0.6</v>
          </cell>
          <cell r="K21">
            <v>4.3499999999999996</v>
          </cell>
          <cell r="L21">
            <v>29.16</v>
          </cell>
          <cell r="M21">
            <v>0</v>
          </cell>
          <cell r="N21" t="e">
            <v>#DIV/0!</v>
          </cell>
          <cell r="O21">
            <v>0</v>
          </cell>
          <cell r="P21">
            <v>3.5000000000000003E-2</v>
          </cell>
          <cell r="Q21">
            <v>3.1699999999999999E-2</v>
          </cell>
          <cell r="R21">
            <v>1.4999999999999999E-2</v>
          </cell>
          <cell r="S21">
            <v>1195.48</v>
          </cell>
        </row>
      </sheetData>
      <sheetData sheetId="2">
        <row r="56">
          <cell r="A56" t="str">
            <v>Assinatura do Representante Legal da empresa</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722C3-BEF1-42D5-AC4F-8EC320BB5A66}">
  <sheetPr>
    <tabColor theme="7" tint="0.39997558519241921"/>
    <pageSetUpPr fitToPage="1"/>
  </sheetPr>
  <dimension ref="B1:O22"/>
  <sheetViews>
    <sheetView view="pageBreakPreview" zoomScaleNormal="100" zoomScaleSheetLayoutView="100" workbookViewId="0">
      <selection activeCell="K18" sqref="B5:K18"/>
    </sheetView>
  </sheetViews>
  <sheetFormatPr defaultRowHeight="14.4"/>
  <cols>
    <col min="1" max="1" width="3.6640625" customWidth="1"/>
    <col min="2" max="2" width="12.109375" style="96" bestFit="1" customWidth="1"/>
    <col min="3" max="4" width="16.33203125" style="96" customWidth="1"/>
    <col min="5" max="5" width="37.109375" style="96" customWidth="1"/>
    <col min="6" max="6" width="14.77734375" customWidth="1"/>
    <col min="7" max="7" width="10.109375" customWidth="1"/>
    <col min="8" max="8" width="14.6640625" customWidth="1"/>
    <col min="9" max="9" width="10.5546875" customWidth="1"/>
    <col min="10" max="10" width="15.88671875" customWidth="1"/>
    <col min="11" max="11" width="17.21875" customWidth="1"/>
    <col min="12" max="12" width="3.33203125" customWidth="1"/>
    <col min="13" max="13" width="13.6640625" customWidth="1"/>
    <col min="14" max="14" width="13.77734375" customWidth="1"/>
    <col min="15" max="15" width="10.44140625" bestFit="1" customWidth="1"/>
  </cols>
  <sheetData>
    <row r="1" spans="2:15" ht="105.6" customHeight="1">
      <c r="B1" s="129" t="s">
        <v>139</v>
      </c>
      <c r="C1" s="129"/>
      <c r="D1" s="129"/>
      <c r="E1" s="129"/>
      <c r="F1" s="129"/>
      <c r="G1" s="129"/>
      <c r="H1" s="129"/>
      <c r="I1" s="129"/>
      <c r="J1" s="129"/>
      <c r="K1" s="129"/>
      <c r="L1" s="95"/>
    </row>
    <row r="2" spans="2:15" ht="21" customHeight="1">
      <c r="B2" s="91"/>
      <c r="C2" s="91"/>
      <c r="D2" s="91"/>
      <c r="E2" s="91"/>
      <c r="F2" s="91"/>
      <c r="G2" s="91"/>
      <c r="H2" s="91"/>
      <c r="I2" s="91"/>
      <c r="J2" s="91"/>
      <c r="K2" s="91"/>
      <c r="L2" s="91"/>
    </row>
    <row r="3" spans="2:15" ht="20.399999999999999" customHeight="1">
      <c r="B3" s="130" t="s">
        <v>102</v>
      </c>
      <c r="C3" s="130"/>
      <c r="D3" s="130"/>
      <c r="E3" s="130"/>
      <c r="F3" s="130"/>
      <c r="G3" s="130"/>
      <c r="H3" s="130"/>
      <c r="I3" s="130"/>
      <c r="J3" s="130"/>
      <c r="K3" s="130"/>
      <c r="L3" s="91"/>
    </row>
    <row r="4" spans="2:15" ht="15.6">
      <c r="L4" s="91"/>
    </row>
    <row r="5" spans="2:15" ht="28.8">
      <c r="B5" s="94" t="s">
        <v>107</v>
      </c>
      <c r="C5" s="94" t="s">
        <v>154</v>
      </c>
      <c r="D5" s="94" t="s">
        <v>155</v>
      </c>
      <c r="E5" s="94" t="s">
        <v>6</v>
      </c>
      <c r="F5" s="94" t="s">
        <v>160</v>
      </c>
      <c r="G5" s="94" t="s">
        <v>161</v>
      </c>
      <c r="H5" s="94" t="s">
        <v>103</v>
      </c>
      <c r="I5" s="94" t="s">
        <v>104</v>
      </c>
      <c r="J5" s="94" t="s">
        <v>105</v>
      </c>
      <c r="K5" s="94" t="s">
        <v>162</v>
      </c>
      <c r="L5" s="91"/>
      <c r="M5" s="118">
        <f>H6+H7</f>
        <v>18723.300000000003</v>
      </c>
    </row>
    <row r="6" spans="2:15" ht="28.8">
      <c r="B6" s="131">
        <v>1</v>
      </c>
      <c r="C6" s="131" t="s">
        <v>156</v>
      </c>
      <c r="D6" s="131" t="s">
        <v>157</v>
      </c>
      <c r="E6" s="69" t="s">
        <v>159</v>
      </c>
      <c r="F6" s="77">
        <f>'A SLZ - DIU'!C135</f>
        <v>4288.51</v>
      </c>
      <c r="G6" s="69">
        <v>2</v>
      </c>
      <c r="H6" s="78">
        <f t="shared" ref="H6:H17" si="0">ROUND((F6*G6),2)</f>
        <v>8577.02</v>
      </c>
      <c r="I6" s="43">
        <v>2</v>
      </c>
      <c r="J6" s="79">
        <f t="shared" ref="J6:J17" si="1">ROUND((H6*I6),2)</f>
        <v>17154.04</v>
      </c>
      <c r="K6" s="79">
        <f t="shared" ref="K6:K17" si="2">ROUND((J6*12),2)</f>
        <v>205848.48</v>
      </c>
      <c r="L6" s="91"/>
      <c r="M6" s="97">
        <v>5420.69</v>
      </c>
      <c r="N6" s="97">
        <f t="shared" ref="N6:N17" si="3">M6*2</f>
        <v>10841.38</v>
      </c>
      <c r="O6" s="97">
        <f t="shared" ref="O6:O17" si="4">H6-N6</f>
        <v>-2264.3599999999988</v>
      </c>
    </row>
    <row r="7" spans="2:15" ht="43.2">
      <c r="B7" s="132"/>
      <c r="C7" s="132"/>
      <c r="D7" s="132"/>
      <c r="E7" s="69" t="s">
        <v>158</v>
      </c>
      <c r="F7" s="78">
        <f>'B SLZ - NOT'!C135</f>
        <v>5073.1400000000003</v>
      </c>
      <c r="G7" s="69">
        <v>2</v>
      </c>
      <c r="H7" s="78">
        <f t="shared" si="0"/>
        <v>10146.280000000001</v>
      </c>
      <c r="I7" s="43">
        <v>2</v>
      </c>
      <c r="J7" s="79">
        <f t="shared" si="1"/>
        <v>20292.560000000001</v>
      </c>
      <c r="K7" s="79">
        <f t="shared" si="2"/>
        <v>243510.72</v>
      </c>
      <c r="L7" s="91"/>
      <c r="M7" s="97">
        <v>6347.87</v>
      </c>
      <c r="N7" s="97">
        <f t="shared" si="3"/>
        <v>12695.74</v>
      </c>
      <c r="O7" s="97">
        <f t="shared" si="4"/>
        <v>-2549.4599999999991</v>
      </c>
    </row>
    <row r="8" spans="2:15" ht="28.8">
      <c r="B8" s="131">
        <v>2</v>
      </c>
      <c r="C8" s="131" t="s">
        <v>164</v>
      </c>
      <c r="D8" s="131" t="s">
        <v>165</v>
      </c>
      <c r="E8" s="69" t="s">
        <v>159</v>
      </c>
      <c r="F8" s="77">
        <f>'A SLZ - DIU'!C135</f>
        <v>4288.51</v>
      </c>
      <c r="G8" s="69">
        <v>2</v>
      </c>
      <c r="H8" s="78">
        <f t="shared" si="0"/>
        <v>8577.02</v>
      </c>
      <c r="I8" s="43">
        <v>2</v>
      </c>
      <c r="J8" s="79">
        <f t="shared" si="1"/>
        <v>17154.04</v>
      </c>
      <c r="K8" s="79">
        <f t="shared" si="2"/>
        <v>205848.48</v>
      </c>
      <c r="L8" s="91"/>
      <c r="M8" s="97">
        <v>5420.69</v>
      </c>
      <c r="N8" s="97">
        <f t="shared" si="3"/>
        <v>10841.38</v>
      </c>
      <c r="O8" s="97">
        <f t="shared" si="4"/>
        <v>-2264.3599999999988</v>
      </c>
    </row>
    <row r="9" spans="2:15" ht="43.2">
      <c r="B9" s="132"/>
      <c r="C9" s="132"/>
      <c r="D9" s="132"/>
      <c r="E9" s="69" t="s">
        <v>158</v>
      </c>
      <c r="F9" s="78">
        <f>'B SLZ - NOT'!C135</f>
        <v>5073.1400000000003</v>
      </c>
      <c r="G9" s="69">
        <v>2</v>
      </c>
      <c r="H9" s="78">
        <f t="shared" si="0"/>
        <v>10146.280000000001</v>
      </c>
      <c r="I9" s="43">
        <v>2</v>
      </c>
      <c r="J9" s="79">
        <f t="shared" si="1"/>
        <v>20292.560000000001</v>
      </c>
      <c r="K9" s="79">
        <f t="shared" si="2"/>
        <v>243510.72</v>
      </c>
      <c r="L9" s="91"/>
      <c r="M9" s="97">
        <v>6347.87</v>
      </c>
      <c r="N9" s="97">
        <f t="shared" si="3"/>
        <v>12695.74</v>
      </c>
      <c r="O9" s="97">
        <f t="shared" si="4"/>
        <v>-2549.4599999999991</v>
      </c>
    </row>
    <row r="10" spans="2:15" ht="28.8">
      <c r="B10" s="131">
        <v>3</v>
      </c>
      <c r="C10" s="131" t="s">
        <v>166</v>
      </c>
      <c r="D10" s="131" t="s">
        <v>167</v>
      </c>
      <c r="E10" s="69" t="s">
        <v>159</v>
      </c>
      <c r="F10" s="77">
        <f>'A SLZ - DIU'!C135</f>
        <v>4288.51</v>
      </c>
      <c r="G10" s="69">
        <v>2</v>
      </c>
      <c r="H10" s="78">
        <f t="shared" si="0"/>
        <v>8577.02</v>
      </c>
      <c r="I10" s="43">
        <v>1</v>
      </c>
      <c r="J10" s="79">
        <f t="shared" si="1"/>
        <v>8577.02</v>
      </c>
      <c r="K10" s="79">
        <f t="shared" si="2"/>
        <v>102924.24</v>
      </c>
      <c r="L10" s="91"/>
      <c r="M10" s="97">
        <v>5420.69</v>
      </c>
      <c r="N10" s="97">
        <f t="shared" si="3"/>
        <v>10841.38</v>
      </c>
      <c r="O10" s="97">
        <f t="shared" si="4"/>
        <v>-2264.3599999999988</v>
      </c>
    </row>
    <row r="11" spans="2:15" ht="43.2">
      <c r="B11" s="132"/>
      <c r="C11" s="132"/>
      <c r="D11" s="132"/>
      <c r="E11" s="69" t="s">
        <v>158</v>
      </c>
      <c r="F11" s="78">
        <f>'B SLZ - NOT'!C135</f>
        <v>5073.1400000000003</v>
      </c>
      <c r="G11" s="69">
        <v>2</v>
      </c>
      <c r="H11" s="78">
        <f t="shared" si="0"/>
        <v>10146.280000000001</v>
      </c>
      <c r="I11" s="43">
        <v>1</v>
      </c>
      <c r="J11" s="79">
        <f t="shared" si="1"/>
        <v>10146.280000000001</v>
      </c>
      <c r="K11" s="79">
        <f t="shared" si="2"/>
        <v>121755.36</v>
      </c>
      <c r="L11" s="91"/>
      <c r="M11" s="97">
        <v>6347.87</v>
      </c>
      <c r="N11" s="97">
        <f t="shared" si="3"/>
        <v>12695.74</v>
      </c>
      <c r="O11" s="97">
        <f t="shared" si="4"/>
        <v>-2549.4599999999991</v>
      </c>
    </row>
    <row r="12" spans="2:15" ht="28.8">
      <c r="B12" s="131">
        <v>4</v>
      </c>
      <c r="C12" s="131" t="s">
        <v>168</v>
      </c>
      <c r="D12" s="131" t="s">
        <v>169</v>
      </c>
      <c r="E12" s="69" t="s">
        <v>159</v>
      </c>
      <c r="F12" s="77">
        <f>'A SLZ - DIU'!C135</f>
        <v>4288.51</v>
      </c>
      <c r="G12" s="69">
        <v>2</v>
      </c>
      <c r="H12" s="78">
        <f t="shared" si="0"/>
        <v>8577.02</v>
      </c>
      <c r="I12" s="43">
        <v>1</v>
      </c>
      <c r="J12" s="79">
        <f t="shared" si="1"/>
        <v>8577.02</v>
      </c>
      <c r="K12" s="79">
        <f t="shared" si="2"/>
        <v>102924.24</v>
      </c>
      <c r="L12" s="91"/>
      <c r="M12" s="97">
        <v>5420.69</v>
      </c>
      <c r="N12" s="97">
        <f t="shared" si="3"/>
        <v>10841.38</v>
      </c>
      <c r="O12" s="97">
        <f t="shared" si="4"/>
        <v>-2264.3599999999988</v>
      </c>
    </row>
    <row r="13" spans="2:15" ht="43.2">
      <c r="B13" s="132"/>
      <c r="C13" s="132"/>
      <c r="D13" s="132"/>
      <c r="E13" s="69" t="s">
        <v>158</v>
      </c>
      <c r="F13" s="78">
        <f>'B SLZ - NOT'!C135</f>
        <v>5073.1400000000003</v>
      </c>
      <c r="G13" s="69">
        <v>2</v>
      </c>
      <c r="H13" s="78">
        <f t="shared" si="0"/>
        <v>10146.280000000001</v>
      </c>
      <c r="I13" s="43">
        <v>1</v>
      </c>
      <c r="J13" s="79">
        <f t="shared" si="1"/>
        <v>10146.280000000001</v>
      </c>
      <c r="K13" s="79">
        <f t="shared" si="2"/>
        <v>121755.36</v>
      </c>
      <c r="L13" s="91"/>
      <c r="M13" s="97">
        <v>6347.87</v>
      </c>
      <c r="N13" s="97">
        <f t="shared" si="3"/>
        <v>12695.74</v>
      </c>
      <c r="O13" s="97">
        <f t="shared" si="4"/>
        <v>-2549.4599999999991</v>
      </c>
    </row>
    <row r="14" spans="2:15" ht="28.8">
      <c r="B14" s="131">
        <v>5</v>
      </c>
      <c r="C14" s="131" t="s">
        <v>172</v>
      </c>
      <c r="D14" s="131" t="s">
        <v>173</v>
      </c>
      <c r="E14" s="69" t="s">
        <v>159</v>
      </c>
      <c r="F14" s="77">
        <f>'A SJR - DIU (2)'!C135</f>
        <v>4271.41</v>
      </c>
      <c r="G14" s="69">
        <v>2</v>
      </c>
      <c r="H14" s="78">
        <f t="shared" si="0"/>
        <v>8542.82</v>
      </c>
      <c r="I14" s="43">
        <v>1</v>
      </c>
      <c r="J14" s="79">
        <f t="shared" si="1"/>
        <v>8542.82</v>
      </c>
      <c r="K14" s="79">
        <f t="shared" si="2"/>
        <v>102513.84</v>
      </c>
      <c r="L14" s="91"/>
      <c r="M14" s="97">
        <v>5276.29</v>
      </c>
      <c r="N14" s="97">
        <f t="shared" si="3"/>
        <v>10552.58</v>
      </c>
      <c r="O14" s="97">
        <f t="shared" si="4"/>
        <v>-2009.7600000000002</v>
      </c>
    </row>
    <row r="15" spans="2:15" ht="43.2">
      <c r="B15" s="132"/>
      <c r="C15" s="132"/>
      <c r="D15" s="132"/>
      <c r="E15" s="69" t="s">
        <v>158</v>
      </c>
      <c r="F15" s="78">
        <f>'B SJR - NOT (2)'!C135</f>
        <v>5052.05</v>
      </c>
      <c r="G15" s="69">
        <v>2</v>
      </c>
      <c r="H15" s="78">
        <f t="shared" si="0"/>
        <v>10104.1</v>
      </c>
      <c r="I15" s="43">
        <v>1</v>
      </c>
      <c r="J15" s="79">
        <f t="shared" si="1"/>
        <v>10104.1</v>
      </c>
      <c r="K15" s="79">
        <f t="shared" si="2"/>
        <v>121249.2</v>
      </c>
      <c r="L15" s="91"/>
      <c r="M15" s="97">
        <v>5944.53</v>
      </c>
      <c r="N15" s="97">
        <f t="shared" si="3"/>
        <v>11889.06</v>
      </c>
      <c r="O15" s="97">
        <f t="shared" si="4"/>
        <v>-1784.9599999999991</v>
      </c>
    </row>
    <row r="16" spans="2:15" ht="28.8">
      <c r="B16" s="131">
        <v>6</v>
      </c>
      <c r="C16" s="131" t="s">
        <v>174</v>
      </c>
      <c r="D16" s="131" t="s">
        <v>175</v>
      </c>
      <c r="E16" s="69" t="s">
        <v>159</v>
      </c>
      <c r="F16" s="77">
        <f>'A PAÇO - DIU (3)'!C135</f>
        <v>4271.41</v>
      </c>
      <c r="G16" s="69">
        <v>2</v>
      </c>
      <c r="H16" s="78">
        <f t="shared" si="0"/>
        <v>8542.82</v>
      </c>
      <c r="I16" s="43">
        <v>1</v>
      </c>
      <c r="J16" s="79">
        <f t="shared" si="1"/>
        <v>8542.82</v>
      </c>
      <c r="K16" s="79">
        <f t="shared" si="2"/>
        <v>102513.84</v>
      </c>
      <c r="L16" s="91"/>
      <c r="M16" s="97">
        <v>5420.69</v>
      </c>
      <c r="N16" s="97">
        <f t="shared" si="3"/>
        <v>10841.38</v>
      </c>
      <c r="O16" s="97">
        <f t="shared" si="4"/>
        <v>-2298.5599999999995</v>
      </c>
    </row>
    <row r="17" spans="2:15" ht="43.2">
      <c r="B17" s="132"/>
      <c r="C17" s="132"/>
      <c r="D17" s="132"/>
      <c r="E17" s="69" t="s">
        <v>158</v>
      </c>
      <c r="F17" s="78">
        <f>'B PAÇO - NOT (3)'!C134</f>
        <v>5049.6400000000003</v>
      </c>
      <c r="G17" s="69">
        <v>2</v>
      </c>
      <c r="H17" s="78">
        <f t="shared" si="0"/>
        <v>10099.280000000001</v>
      </c>
      <c r="I17" s="43">
        <v>1</v>
      </c>
      <c r="J17" s="79">
        <f t="shared" si="1"/>
        <v>10099.280000000001</v>
      </c>
      <c r="K17" s="79">
        <f t="shared" si="2"/>
        <v>121191.36</v>
      </c>
      <c r="L17" s="91"/>
      <c r="M17" s="97">
        <v>6347.87</v>
      </c>
      <c r="N17" s="97">
        <f t="shared" si="3"/>
        <v>12695.74</v>
      </c>
      <c r="O17" s="97">
        <f t="shared" si="4"/>
        <v>-2596.4599999999991</v>
      </c>
    </row>
    <row r="18" spans="2:15" ht="18" customHeight="1">
      <c r="B18" s="133" t="s">
        <v>176</v>
      </c>
      <c r="C18" s="134"/>
      <c r="D18" s="134"/>
      <c r="E18" s="134"/>
      <c r="F18" s="134"/>
      <c r="G18" s="134"/>
      <c r="H18" s="134"/>
      <c r="I18" s="134"/>
      <c r="J18" s="98">
        <f>SUM(J6:J17)</f>
        <v>149628.82000000004</v>
      </c>
      <c r="K18" s="98">
        <f>SUM(K6:K17)</f>
        <v>1795545.8400000003</v>
      </c>
      <c r="L18" s="91"/>
    </row>
    <row r="19" spans="2:15" ht="15.6">
      <c r="L19" s="91"/>
    </row>
    <row r="20" spans="2:15" s="92" customFormat="1" ht="25.2" customHeight="1">
      <c r="B20" s="135" t="s">
        <v>177</v>
      </c>
      <c r="C20" s="136"/>
      <c r="D20" s="136"/>
      <c r="E20" s="136"/>
      <c r="F20" s="136"/>
      <c r="G20" s="136"/>
      <c r="H20" s="136"/>
      <c r="I20" s="136"/>
      <c r="J20" s="137"/>
      <c r="K20" s="88" t="e">
        <f>ROUND((#REF!+#REF!+J18),2)</f>
        <v>#REF!</v>
      </c>
      <c r="L20" s="91"/>
      <c r="M20" s="92">
        <v>187201.53</v>
      </c>
      <c r="N20" s="97" t="e">
        <f>K20-M20</f>
        <v>#REF!</v>
      </c>
    </row>
    <row r="21" spans="2:15" s="92" customFormat="1" ht="25.2" customHeight="1">
      <c r="B21" s="138" t="s">
        <v>178</v>
      </c>
      <c r="C21" s="139"/>
      <c r="D21" s="139"/>
      <c r="E21" s="139"/>
      <c r="F21" s="139"/>
      <c r="G21" s="139"/>
      <c r="H21" s="139"/>
      <c r="I21" s="139"/>
      <c r="J21" s="140"/>
      <c r="K21" s="88" t="e">
        <f>ROUND((#REF!+#REF!+K18),2)</f>
        <v>#REF!</v>
      </c>
      <c r="L21" s="91"/>
      <c r="M21" s="92">
        <v>2246418.34</v>
      </c>
      <c r="N21" s="97" t="e">
        <f>K21-M21</f>
        <v>#REF!</v>
      </c>
    </row>
    <row r="22" spans="2:15" ht="15.6">
      <c r="L22" s="91"/>
    </row>
  </sheetData>
  <mergeCells count="23">
    <mergeCell ref="B18:I18"/>
    <mergeCell ref="B20:J20"/>
    <mergeCell ref="B21:J21"/>
    <mergeCell ref="B14:B15"/>
    <mergeCell ref="C14:C15"/>
    <mergeCell ref="D14:D15"/>
    <mergeCell ref="B16:B17"/>
    <mergeCell ref="C16:C17"/>
    <mergeCell ref="D16:D17"/>
    <mergeCell ref="B12:B13"/>
    <mergeCell ref="C12:C13"/>
    <mergeCell ref="D12:D13"/>
    <mergeCell ref="B8:B9"/>
    <mergeCell ref="C8:C9"/>
    <mergeCell ref="D8:D9"/>
    <mergeCell ref="B10:B11"/>
    <mergeCell ref="C10:C11"/>
    <mergeCell ref="D10:D11"/>
    <mergeCell ref="B1:K1"/>
    <mergeCell ref="B3:K3"/>
    <mergeCell ref="B6:B7"/>
    <mergeCell ref="C6:C7"/>
    <mergeCell ref="D6:D7"/>
  </mergeCells>
  <pageMargins left="0.511811024" right="0.511811024" top="0.78740157499999996" bottom="0.78740157499999996" header="0.31496062000000002" footer="0.31496062000000002"/>
  <pageSetup paperSize="9" scale="53" fitToHeight="0" orientation="portrait" r:id="rId1"/>
  <headerFooter>
    <oddHeader>&amp;L&amp;G</oddHeader>
    <oddFooter>&amp;C&amp;G</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CF9FED-A495-4028-8586-A9232D529949}">
  <dimension ref="B2:J69"/>
  <sheetViews>
    <sheetView view="pageBreakPreview" topLeftCell="A48" zoomScale="130" zoomScaleNormal="100" zoomScaleSheetLayoutView="130" workbookViewId="0">
      <selection activeCell="M32" sqref="M32"/>
    </sheetView>
  </sheetViews>
  <sheetFormatPr defaultRowHeight="14.4"/>
  <cols>
    <col min="2" max="2" width="28.77734375" customWidth="1"/>
    <col min="5" max="5" width="15.6640625" customWidth="1"/>
    <col min="10" max="10" width="10.44140625" customWidth="1"/>
    <col min="11" max="11" width="2.6640625" customWidth="1"/>
  </cols>
  <sheetData>
    <row r="2" spans="2:10" ht="110.4" customHeight="1">
      <c r="B2" s="242" t="str">
        <f>'B PAÇO - NOT (3)'!A1</f>
        <v>AO
ESTADO DO MARANHÃO
MINISTÉRIO PÚBLICO
PROCURADORIA-GERAL DE JUSTIÇA
COMISSÃO PERMANENTE DE LICITAÇÃO
PREGÃO ELETRÔNICO Nº 23/2023
PROCESSO ADMINISTRATIVO Nº 18976/2022</v>
      </c>
      <c r="C2" s="242"/>
      <c r="D2" s="242"/>
      <c r="E2" s="242"/>
      <c r="F2" s="242"/>
      <c r="G2" s="242"/>
      <c r="H2" s="242"/>
      <c r="I2" s="242"/>
      <c r="J2" s="242"/>
    </row>
    <row r="3" spans="2:10" ht="17.399999999999999">
      <c r="B3" s="243" t="s">
        <v>188</v>
      </c>
      <c r="C3" s="243"/>
      <c r="D3" s="243"/>
      <c r="E3" s="243"/>
      <c r="F3" s="243"/>
      <c r="G3" s="243"/>
      <c r="H3" s="243"/>
      <c r="I3" s="243"/>
      <c r="J3" s="243"/>
    </row>
    <row r="4" spans="2:10" ht="15" thickBot="1">
      <c r="B4" s="101"/>
      <c r="C4" s="101"/>
      <c r="D4" s="101"/>
      <c r="E4" s="101"/>
      <c r="F4" s="101"/>
      <c r="G4" s="101"/>
      <c r="H4" s="101"/>
      <c r="I4" s="101"/>
      <c r="J4" s="101"/>
    </row>
    <row r="5" spans="2:10" ht="16.2" thickBot="1">
      <c r="B5" s="224" t="s">
        <v>189</v>
      </c>
      <c r="C5" s="225"/>
      <c r="D5" s="225"/>
      <c r="E5" s="225"/>
      <c r="F5" s="225"/>
      <c r="G5" s="225"/>
      <c r="H5" s="225"/>
      <c r="I5" s="225"/>
      <c r="J5" s="226"/>
    </row>
    <row r="6" spans="2:10" ht="15" thickBot="1">
      <c r="B6" s="244" t="s">
        <v>190</v>
      </c>
      <c r="C6" s="245"/>
      <c r="D6" s="245"/>
      <c r="E6" s="245"/>
      <c r="F6" s="245"/>
      <c r="G6" s="245"/>
      <c r="H6" s="245"/>
      <c r="I6" s="245"/>
      <c r="J6" s="246"/>
    </row>
    <row r="7" spans="2:10" ht="15" thickBot="1">
      <c r="B7" s="113" t="s">
        <v>235</v>
      </c>
      <c r="C7" s="230">
        <v>1438.21</v>
      </c>
      <c r="D7" s="230"/>
      <c r="E7" s="231" t="s">
        <v>244</v>
      </c>
      <c r="F7" s="232"/>
      <c r="G7" s="232"/>
      <c r="H7" s="232"/>
      <c r="I7" s="232"/>
      <c r="J7" s="233"/>
    </row>
    <row r="8" spans="2:10" ht="15" thickBot="1">
      <c r="B8" s="113" t="s">
        <v>236</v>
      </c>
      <c r="C8" s="230">
        <v>1438.21</v>
      </c>
      <c r="D8" s="230"/>
      <c r="E8" s="231" t="s">
        <v>244</v>
      </c>
      <c r="F8" s="232"/>
      <c r="G8" s="232"/>
      <c r="H8" s="232"/>
      <c r="I8" s="232"/>
      <c r="J8" s="233"/>
    </row>
    <row r="9" spans="2:10" ht="15" thickBot="1">
      <c r="B9" s="113" t="s">
        <v>245</v>
      </c>
      <c r="C9" s="247">
        <v>0.3</v>
      </c>
      <c r="D9" s="230"/>
      <c r="E9" s="231" t="s">
        <v>244</v>
      </c>
      <c r="F9" s="232"/>
      <c r="G9" s="232"/>
      <c r="H9" s="232"/>
      <c r="I9" s="232"/>
      <c r="J9" s="233"/>
    </row>
    <row r="10" spans="2:10" ht="15" thickBot="1">
      <c r="B10" s="113" t="s">
        <v>246</v>
      </c>
      <c r="C10" s="230"/>
      <c r="D10" s="230"/>
      <c r="E10" s="231" t="s">
        <v>247</v>
      </c>
      <c r="F10" s="232"/>
      <c r="G10" s="232"/>
      <c r="H10" s="232"/>
      <c r="I10" s="232"/>
      <c r="J10" s="233"/>
    </row>
    <row r="11" spans="2:10">
      <c r="B11" s="113" t="s">
        <v>248</v>
      </c>
      <c r="C11" s="230"/>
      <c r="D11" s="230"/>
      <c r="E11" s="231" t="s">
        <v>247</v>
      </c>
      <c r="F11" s="232"/>
      <c r="G11" s="232"/>
      <c r="H11" s="232"/>
      <c r="I11" s="232"/>
      <c r="J11" s="233"/>
    </row>
    <row r="12" spans="2:10" ht="15" thickBot="1">
      <c r="B12" s="101"/>
      <c r="C12" s="101"/>
      <c r="D12" s="101"/>
      <c r="E12" s="101"/>
      <c r="F12" s="101"/>
      <c r="G12" s="101"/>
      <c r="H12" s="101"/>
      <c r="I12" s="101"/>
      <c r="J12" s="101"/>
    </row>
    <row r="13" spans="2:10" ht="16.2" thickBot="1">
      <c r="B13" s="224" t="s">
        <v>191</v>
      </c>
      <c r="C13" s="225"/>
      <c r="D13" s="225"/>
      <c r="E13" s="225"/>
      <c r="F13" s="225"/>
      <c r="G13" s="225"/>
      <c r="H13" s="225"/>
      <c r="I13" s="225"/>
      <c r="J13" s="226"/>
    </row>
    <row r="14" spans="2:10" ht="15" thickBot="1">
      <c r="B14" s="234" t="s">
        <v>190</v>
      </c>
      <c r="C14" s="235"/>
      <c r="D14" s="235"/>
      <c r="E14" s="235"/>
      <c r="F14" s="235"/>
      <c r="G14" s="235"/>
      <c r="H14" s="235"/>
      <c r="I14" s="235"/>
      <c r="J14" s="236"/>
    </row>
    <row r="15" spans="2:10" ht="15" thickBot="1">
      <c r="B15" s="104" t="s">
        <v>192</v>
      </c>
      <c r="C15" s="216" t="s">
        <v>238</v>
      </c>
      <c r="D15" s="217"/>
      <c r="E15" s="217"/>
      <c r="F15" s="217"/>
      <c r="G15" s="217"/>
      <c r="H15" s="217"/>
      <c r="I15" s="217"/>
      <c r="J15" s="218"/>
    </row>
    <row r="16" spans="2:10" ht="15" thickBot="1">
      <c r="B16" s="103" t="s">
        <v>193</v>
      </c>
      <c r="C16" s="216" t="s">
        <v>239</v>
      </c>
      <c r="D16" s="217"/>
      <c r="E16" s="217"/>
      <c r="F16" s="217"/>
      <c r="G16" s="217"/>
      <c r="H16" s="217"/>
      <c r="I16" s="217"/>
      <c r="J16" s="218"/>
    </row>
    <row r="17" spans="2:10" ht="15" thickBot="1">
      <c r="B17" s="103" t="s">
        <v>240</v>
      </c>
      <c r="C17" s="216" t="s">
        <v>241</v>
      </c>
      <c r="D17" s="217"/>
      <c r="E17" s="217"/>
      <c r="F17" s="217"/>
      <c r="G17" s="217"/>
      <c r="H17" s="217"/>
      <c r="I17" s="217"/>
      <c r="J17" s="218"/>
    </row>
    <row r="18" spans="2:10" ht="15" thickBot="1">
      <c r="B18" s="103" t="s">
        <v>194</v>
      </c>
      <c r="C18" s="216" t="s">
        <v>242</v>
      </c>
      <c r="D18" s="217"/>
      <c r="E18" s="217"/>
      <c r="F18" s="217"/>
      <c r="G18" s="217"/>
      <c r="H18" s="217"/>
      <c r="I18" s="217"/>
      <c r="J18" s="218"/>
    </row>
    <row r="19" spans="2:10" ht="15" thickBot="1">
      <c r="B19" s="114" t="s">
        <v>195</v>
      </c>
      <c r="C19" s="227" t="s">
        <v>243</v>
      </c>
      <c r="D19" s="228"/>
      <c r="E19" s="228"/>
      <c r="F19" s="228"/>
      <c r="G19" s="228"/>
      <c r="H19" s="228"/>
      <c r="I19" s="228"/>
      <c r="J19" s="229"/>
    </row>
    <row r="20" spans="2:10" ht="15" thickBot="1">
      <c r="B20" s="221"/>
      <c r="C20" s="222"/>
      <c r="D20" s="222"/>
      <c r="E20" s="222"/>
      <c r="F20" s="222"/>
      <c r="G20" s="222"/>
      <c r="H20" s="222"/>
      <c r="I20" s="222"/>
      <c r="J20" s="223"/>
    </row>
    <row r="21" spans="2:10" ht="15" thickBot="1">
      <c r="B21" s="102"/>
      <c r="C21" s="102"/>
      <c r="D21" s="102"/>
      <c r="E21" s="102"/>
      <c r="F21" s="102"/>
      <c r="G21" s="102"/>
      <c r="H21" s="102"/>
      <c r="I21" s="102"/>
      <c r="J21" s="102"/>
    </row>
    <row r="22" spans="2:10" ht="16.2" thickBot="1">
      <c r="B22" s="224" t="s">
        <v>196</v>
      </c>
      <c r="C22" s="225"/>
      <c r="D22" s="225"/>
      <c r="E22" s="225"/>
      <c r="F22" s="225"/>
      <c r="G22" s="225"/>
      <c r="H22" s="225"/>
      <c r="I22" s="225"/>
      <c r="J22" s="226"/>
    </row>
    <row r="23" spans="2:10" ht="15.6">
      <c r="B23" s="213"/>
      <c r="C23" s="214"/>
      <c r="D23" s="214"/>
      <c r="E23" s="214"/>
      <c r="F23" s="214"/>
      <c r="G23" s="214"/>
      <c r="H23" s="214"/>
      <c r="I23" s="214"/>
      <c r="J23" s="215"/>
    </row>
    <row r="24" spans="2:10" ht="15.6">
      <c r="B24" s="204" t="s">
        <v>197</v>
      </c>
      <c r="C24" s="204"/>
      <c r="D24" s="204"/>
      <c r="E24" s="204"/>
      <c r="F24" s="204"/>
      <c r="G24" s="204"/>
      <c r="H24" s="204"/>
      <c r="I24" s="204"/>
      <c r="J24" s="105" t="s">
        <v>198</v>
      </c>
    </row>
    <row r="25" spans="2:10" ht="15.6">
      <c r="B25" s="205" t="s">
        <v>199</v>
      </c>
      <c r="C25" s="205"/>
      <c r="D25" s="205"/>
      <c r="E25" s="205"/>
      <c r="F25" s="205"/>
      <c r="G25" s="205"/>
      <c r="H25" s="205"/>
      <c r="I25" s="205"/>
      <c r="J25" s="106">
        <v>8.3299999999999999E-2</v>
      </c>
    </row>
    <row r="26" spans="2:10" ht="15.6">
      <c r="B26" s="205" t="s">
        <v>237</v>
      </c>
      <c r="C26" s="205"/>
      <c r="D26" s="205"/>
      <c r="E26" s="205"/>
      <c r="F26" s="205"/>
      <c r="G26" s="205"/>
      <c r="H26" s="205"/>
      <c r="I26" s="205"/>
      <c r="J26" s="106">
        <v>0.1111</v>
      </c>
    </row>
    <row r="27" spans="2:10" ht="15.6">
      <c r="B27" s="219" t="s">
        <v>200</v>
      </c>
      <c r="C27" s="219"/>
      <c r="D27" s="219"/>
      <c r="E27" s="219"/>
      <c r="F27" s="219"/>
      <c r="G27" s="219"/>
      <c r="H27" s="219"/>
      <c r="I27" s="219"/>
      <c r="J27" s="105">
        <f>SUM(J25:J26)</f>
        <v>0.19440000000000002</v>
      </c>
    </row>
    <row r="29" spans="2:10" ht="15.6">
      <c r="B29" s="204" t="s">
        <v>201</v>
      </c>
      <c r="C29" s="204"/>
      <c r="D29" s="204"/>
      <c r="E29" s="204"/>
      <c r="F29" s="204"/>
      <c r="G29" s="204"/>
      <c r="H29" s="204"/>
      <c r="I29" s="204"/>
      <c r="J29" s="105" t="s">
        <v>198</v>
      </c>
    </row>
    <row r="30" spans="2:10" ht="15.6">
      <c r="B30" s="205" t="s">
        <v>202</v>
      </c>
      <c r="C30" s="205"/>
      <c r="D30" s="205"/>
      <c r="E30" s="205"/>
      <c r="F30" s="205"/>
      <c r="G30" s="205"/>
      <c r="H30" s="205"/>
      <c r="I30" s="205"/>
      <c r="J30" s="106">
        <v>0.2</v>
      </c>
    </row>
    <row r="31" spans="2:10" ht="15.6">
      <c r="B31" s="205" t="s">
        <v>203</v>
      </c>
      <c r="C31" s="205"/>
      <c r="D31" s="205"/>
      <c r="E31" s="205"/>
      <c r="F31" s="205"/>
      <c r="G31" s="205"/>
      <c r="H31" s="205"/>
      <c r="I31" s="205"/>
      <c r="J31" s="106">
        <v>2.5000000000000001E-2</v>
      </c>
    </row>
    <row r="32" spans="2:10" ht="15.6">
      <c r="B32" s="205" t="s">
        <v>204</v>
      </c>
      <c r="C32" s="205"/>
      <c r="D32" s="205"/>
      <c r="E32" s="205"/>
      <c r="F32" s="205"/>
      <c r="G32" s="205"/>
      <c r="H32" s="205"/>
      <c r="I32" s="205"/>
      <c r="J32" s="111">
        <v>1.4999999999999999E-2</v>
      </c>
    </row>
    <row r="33" spans="2:10" ht="15.6">
      <c r="B33" s="205" t="s">
        <v>205</v>
      </c>
      <c r="C33" s="205"/>
      <c r="D33" s="205"/>
      <c r="E33" s="205"/>
      <c r="F33" s="205"/>
      <c r="G33" s="205"/>
      <c r="H33" s="205"/>
      <c r="I33" s="205"/>
      <c r="J33" s="106">
        <v>1.4999999999999999E-2</v>
      </c>
    </row>
    <row r="34" spans="2:10" ht="15.6">
      <c r="B34" s="205" t="s">
        <v>206</v>
      </c>
      <c r="C34" s="205"/>
      <c r="D34" s="205"/>
      <c r="E34" s="205"/>
      <c r="F34" s="205"/>
      <c r="G34" s="205"/>
      <c r="H34" s="205"/>
      <c r="I34" s="205"/>
      <c r="J34" s="106">
        <v>0.01</v>
      </c>
    </row>
    <row r="35" spans="2:10" ht="15.6">
      <c r="B35" s="205" t="s">
        <v>207</v>
      </c>
      <c r="C35" s="205"/>
      <c r="D35" s="205"/>
      <c r="E35" s="205"/>
      <c r="F35" s="205"/>
      <c r="G35" s="205"/>
      <c r="H35" s="205"/>
      <c r="I35" s="205"/>
      <c r="J35" s="106">
        <v>6.0000000000000001E-3</v>
      </c>
    </row>
    <row r="36" spans="2:10" ht="15.6">
      <c r="B36" s="206" t="s">
        <v>208</v>
      </c>
      <c r="C36" s="206"/>
      <c r="D36" s="206"/>
      <c r="E36" s="206"/>
      <c r="F36" s="206"/>
      <c r="G36" s="206"/>
      <c r="H36" s="206"/>
      <c r="I36" s="206"/>
      <c r="J36" s="106">
        <v>2E-3</v>
      </c>
    </row>
    <row r="37" spans="2:10" ht="15.6">
      <c r="B37" s="205" t="s">
        <v>209</v>
      </c>
      <c r="C37" s="205"/>
      <c r="D37" s="205"/>
      <c r="E37" s="205"/>
      <c r="F37" s="205"/>
      <c r="G37" s="205"/>
      <c r="H37" s="205"/>
      <c r="I37" s="205"/>
      <c r="J37" s="106">
        <v>0.08</v>
      </c>
    </row>
    <row r="38" spans="2:10" ht="15.6">
      <c r="B38" s="220" t="s">
        <v>200</v>
      </c>
      <c r="C38" s="220"/>
      <c r="D38" s="220"/>
      <c r="E38" s="220"/>
      <c r="F38" s="220"/>
      <c r="G38" s="220"/>
      <c r="H38" s="220"/>
      <c r="I38" s="220"/>
      <c r="J38" s="105">
        <f>SUM(J30:J37)</f>
        <v>0.35300000000000004</v>
      </c>
    </row>
    <row r="40" spans="2:10" ht="15.6">
      <c r="B40" s="204" t="s">
        <v>210</v>
      </c>
      <c r="C40" s="204"/>
      <c r="D40" s="204"/>
      <c r="E40" s="204"/>
      <c r="F40" s="204"/>
      <c r="G40" s="204"/>
      <c r="H40" s="204"/>
      <c r="I40" s="204"/>
      <c r="J40" s="105" t="s">
        <v>198</v>
      </c>
    </row>
    <row r="41" spans="2:10" ht="15.6">
      <c r="B41" s="205" t="s">
        <v>211</v>
      </c>
      <c r="C41" s="205"/>
      <c r="D41" s="205"/>
      <c r="E41" s="205"/>
      <c r="F41" s="205"/>
      <c r="G41" s="205"/>
      <c r="H41" s="205"/>
      <c r="I41" s="205"/>
      <c r="J41" s="110">
        <v>4.1999999999999997E-3</v>
      </c>
    </row>
    <row r="42" spans="2:10" ht="15.6">
      <c r="B42" s="205" t="s">
        <v>212</v>
      </c>
      <c r="C42" s="205"/>
      <c r="D42" s="205"/>
      <c r="E42" s="205"/>
      <c r="F42" s="205"/>
      <c r="G42" s="205"/>
      <c r="H42" s="205"/>
      <c r="I42" s="205"/>
      <c r="J42" s="110">
        <v>3.3599999999999998E-4</v>
      </c>
    </row>
    <row r="43" spans="2:10" ht="15.6">
      <c r="B43" s="205" t="s">
        <v>213</v>
      </c>
      <c r="C43" s="205"/>
      <c r="D43" s="205"/>
      <c r="E43" s="205"/>
      <c r="F43" s="205"/>
      <c r="G43" s="205"/>
      <c r="H43" s="205"/>
      <c r="I43" s="205"/>
      <c r="J43" s="109">
        <v>1.1999999999999999E-3</v>
      </c>
    </row>
    <row r="44" spans="2:10" ht="15.6">
      <c r="B44" s="205" t="s">
        <v>214</v>
      </c>
      <c r="C44" s="205"/>
      <c r="D44" s="205"/>
      <c r="E44" s="205"/>
      <c r="F44" s="205"/>
      <c r="G44" s="205"/>
      <c r="H44" s="205"/>
      <c r="I44" s="205"/>
      <c r="J44" s="109">
        <v>1.9400000000000001E-2</v>
      </c>
    </row>
    <row r="45" spans="2:10" ht="15.6">
      <c r="B45" s="206" t="s">
        <v>215</v>
      </c>
      <c r="C45" s="206"/>
      <c r="D45" s="206"/>
      <c r="E45" s="206"/>
      <c r="F45" s="206"/>
      <c r="G45" s="206"/>
      <c r="H45" s="206"/>
      <c r="I45" s="206"/>
      <c r="J45" s="110">
        <v>7.1392000000000009E-3</v>
      </c>
    </row>
    <row r="46" spans="2:10" ht="15.6">
      <c r="B46" s="205" t="s">
        <v>216</v>
      </c>
      <c r="C46" s="205"/>
      <c r="D46" s="205"/>
      <c r="E46" s="205"/>
      <c r="F46" s="205"/>
      <c r="G46" s="205"/>
      <c r="H46" s="205"/>
      <c r="I46" s="205"/>
      <c r="J46" s="106">
        <v>3.8800000000000001E-2</v>
      </c>
    </row>
    <row r="48" spans="2:10" ht="15.6">
      <c r="B48" s="204" t="s">
        <v>217</v>
      </c>
      <c r="C48" s="204"/>
      <c r="D48" s="204"/>
      <c r="E48" s="204"/>
      <c r="F48" s="204"/>
      <c r="G48" s="204"/>
      <c r="H48" s="204"/>
      <c r="I48" s="204"/>
      <c r="J48" s="204"/>
    </row>
    <row r="49" spans="2:10" ht="15.6">
      <c r="B49" s="204" t="s">
        <v>218</v>
      </c>
      <c r="C49" s="204"/>
      <c r="D49" s="204"/>
      <c r="E49" s="204"/>
      <c r="F49" s="204"/>
      <c r="G49" s="204"/>
      <c r="H49" s="204"/>
      <c r="I49" s="204"/>
      <c r="J49" s="105" t="s">
        <v>198</v>
      </c>
    </row>
    <row r="50" spans="2:10" ht="15.6">
      <c r="B50" s="205" t="s">
        <v>219</v>
      </c>
      <c r="C50" s="205"/>
      <c r="D50" s="205"/>
      <c r="E50" s="205"/>
      <c r="F50" s="205"/>
      <c r="G50" s="205"/>
      <c r="H50" s="205"/>
      <c r="I50" s="205"/>
      <c r="J50" s="106">
        <v>9.2999999999999992E-3</v>
      </c>
    </row>
    <row r="51" spans="2:10" ht="15.6">
      <c r="B51" s="205" t="s">
        <v>220</v>
      </c>
      <c r="C51" s="205"/>
      <c r="D51" s="205"/>
      <c r="E51" s="205"/>
      <c r="F51" s="205"/>
      <c r="G51" s="205"/>
      <c r="H51" s="205"/>
      <c r="I51" s="205"/>
      <c r="J51" s="108">
        <v>2.8E-3</v>
      </c>
    </row>
    <row r="52" spans="2:10" ht="15.6">
      <c r="B52" s="205" t="s">
        <v>221</v>
      </c>
      <c r="C52" s="205"/>
      <c r="D52" s="205"/>
      <c r="E52" s="205"/>
      <c r="F52" s="205"/>
      <c r="G52" s="205"/>
      <c r="H52" s="205"/>
      <c r="I52" s="205"/>
      <c r="J52" s="109">
        <v>2.0000000000000001E-4</v>
      </c>
    </row>
    <row r="53" spans="2:10" ht="15.6">
      <c r="B53" s="205" t="s">
        <v>222</v>
      </c>
      <c r="C53" s="205"/>
      <c r="D53" s="205"/>
      <c r="E53" s="205"/>
      <c r="F53" s="205"/>
      <c r="G53" s="205"/>
      <c r="H53" s="205"/>
      <c r="I53" s="205"/>
      <c r="J53" s="109">
        <v>8.0000000000000004E-4</v>
      </c>
    </row>
    <row r="54" spans="2:10" ht="15.6">
      <c r="B54" s="205" t="s">
        <v>223</v>
      </c>
      <c r="C54" s="205"/>
      <c r="D54" s="205"/>
      <c r="E54" s="205"/>
      <c r="F54" s="205"/>
      <c r="G54" s="205"/>
      <c r="H54" s="205"/>
      <c r="I54" s="205"/>
      <c r="J54" s="109">
        <v>2.9999999999999997E-4</v>
      </c>
    </row>
    <row r="55" spans="2:10" ht="15.6">
      <c r="B55" s="205"/>
      <c r="C55" s="205"/>
      <c r="D55" s="205"/>
      <c r="E55" s="205"/>
      <c r="F55" s="205"/>
      <c r="G55" s="205"/>
      <c r="H55" s="205"/>
      <c r="I55" s="205"/>
      <c r="J55" s="106"/>
    </row>
    <row r="56" spans="2:10">
      <c r="B56" s="101"/>
      <c r="C56" s="101"/>
      <c r="D56" s="101"/>
      <c r="E56" s="101"/>
      <c r="F56" s="101"/>
      <c r="G56" s="101"/>
      <c r="H56" s="101"/>
      <c r="I56" s="101"/>
      <c r="J56" s="107"/>
    </row>
    <row r="57" spans="2:10" ht="15.6">
      <c r="B57" s="204" t="s">
        <v>224</v>
      </c>
      <c r="C57" s="204"/>
      <c r="D57" s="204"/>
      <c r="E57" s="204"/>
      <c r="F57" s="204"/>
      <c r="G57" s="204"/>
      <c r="H57" s="204"/>
      <c r="I57" s="204"/>
      <c r="J57" s="204"/>
    </row>
    <row r="58" spans="2:10" ht="15.6">
      <c r="B58" s="207" t="s">
        <v>225</v>
      </c>
      <c r="C58" s="208"/>
      <c r="D58" s="208"/>
      <c r="E58" s="208"/>
      <c r="F58" s="208"/>
      <c r="G58" s="208"/>
      <c r="H58" s="208"/>
      <c r="I58" s="208"/>
      <c r="J58" s="209"/>
    </row>
    <row r="59" spans="2:10" ht="15.6">
      <c r="B59" s="207" t="s">
        <v>226</v>
      </c>
      <c r="C59" s="208"/>
      <c r="D59" s="208"/>
      <c r="E59" s="208"/>
      <c r="F59" s="208"/>
      <c r="G59" s="208"/>
      <c r="H59" s="208"/>
      <c r="I59" s="208"/>
      <c r="J59" s="209"/>
    </row>
    <row r="60" spans="2:10" ht="15.6">
      <c r="B60" s="112" t="s">
        <v>227</v>
      </c>
      <c r="C60" s="237" t="s">
        <v>228</v>
      </c>
      <c r="D60" s="238"/>
      <c r="E60" s="238"/>
      <c r="F60" s="238"/>
      <c r="G60" s="238"/>
      <c r="H60" s="238"/>
      <c r="I60" s="238"/>
      <c r="J60" s="239"/>
    </row>
    <row r="61" spans="2:10" ht="15.6">
      <c r="B61" s="112" t="s">
        <v>229</v>
      </c>
      <c r="C61" s="237" t="s">
        <v>230</v>
      </c>
      <c r="D61" s="240"/>
      <c r="E61" s="240"/>
      <c r="F61" s="240"/>
      <c r="G61" s="240"/>
      <c r="H61" s="240"/>
      <c r="I61" s="240"/>
      <c r="J61" s="241"/>
    </row>
    <row r="62" spans="2:10" ht="15.6">
      <c r="B62" s="210" t="s">
        <v>231</v>
      </c>
      <c r="C62" s="211"/>
      <c r="D62" s="211"/>
      <c r="E62" s="211"/>
      <c r="F62" s="211"/>
      <c r="G62" s="211"/>
      <c r="H62" s="211"/>
      <c r="I62" s="211"/>
      <c r="J62" s="212"/>
    </row>
    <row r="63" spans="2:10" ht="15.6">
      <c r="B63" s="205" t="s">
        <v>232</v>
      </c>
      <c r="C63" s="205"/>
      <c r="D63" s="205"/>
      <c r="E63" s="205"/>
      <c r="F63" s="205"/>
      <c r="G63" s="205"/>
      <c r="H63" s="205"/>
      <c r="I63" s="205"/>
      <c r="J63" s="109">
        <v>0.03</v>
      </c>
    </row>
    <row r="64" spans="2:10" ht="15.6">
      <c r="B64" s="205" t="s">
        <v>233</v>
      </c>
      <c r="C64" s="205"/>
      <c r="D64" s="205"/>
      <c r="E64" s="205"/>
      <c r="F64" s="205"/>
      <c r="G64" s="205"/>
      <c r="H64" s="205"/>
      <c r="I64" s="205"/>
      <c r="J64" s="109">
        <v>6.4999999999999997E-3</v>
      </c>
    </row>
    <row r="65" spans="2:10" ht="15.6">
      <c r="B65" s="205" t="s">
        <v>234</v>
      </c>
      <c r="C65" s="205"/>
      <c r="D65" s="205"/>
      <c r="E65" s="205"/>
      <c r="F65" s="205"/>
      <c r="G65" s="205"/>
      <c r="H65" s="205"/>
      <c r="I65" s="205"/>
      <c r="J65" s="106">
        <v>0.05</v>
      </c>
    </row>
    <row r="69" spans="2:10">
      <c r="B69" s="202"/>
      <c r="C69" s="203"/>
      <c r="D69" s="203"/>
      <c r="E69" s="203"/>
      <c r="F69" s="203"/>
      <c r="G69" s="203"/>
      <c r="H69" s="203"/>
      <c r="I69" s="203"/>
      <c r="J69" s="203"/>
    </row>
  </sheetData>
  <mergeCells count="63">
    <mergeCell ref="B2:J2"/>
    <mergeCell ref="B3:J3"/>
    <mergeCell ref="B13:J13"/>
    <mergeCell ref="B5:J5"/>
    <mergeCell ref="B6:J6"/>
    <mergeCell ref="C9:D9"/>
    <mergeCell ref="E9:J9"/>
    <mergeCell ref="C10:D10"/>
    <mergeCell ref="E10:J10"/>
    <mergeCell ref="C11:D11"/>
    <mergeCell ref="E11:J11"/>
    <mergeCell ref="C7:D7"/>
    <mergeCell ref="E7:J7"/>
    <mergeCell ref="B50:I50"/>
    <mergeCell ref="B48:J48"/>
    <mergeCell ref="C60:J60"/>
    <mergeCell ref="C61:J61"/>
    <mergeCell ref="B29:I29"/>
    <mergeCell ref="B30:I30"/>
    <mergeCell ref="B31:I31"/>
    <mergeCell ref="B32:I32"/>
    <mergeCell ref="B49:I49"/>
    <mergeCell ref="B34:I34"/>
    <mergeCell ref="B46:I46"/>
    <mergeCell ref="C16:J16"/>
    <mergeCell ref="C17:J17"/>
    <mergeCell ref="C18:J18"/>
    <mergeCell ref="C19:J19"/>
    <mergeCell ref="C8:D8"/>
    <mergeCell ref="E8:J8"/>
    <mergeCell ref="B14:J14"/>
    <mergeCell ref="B26:I26"/>
    <mergeCell ref="B23:J23"/>
    <mergeCell ref="C15:J15"/>
    <mergeCell ref="B63:I63"/>
    <mergeCell ref="B64:I64"/>
    <mergeCell ref="B59:J59"/>
    <mergeCell ref="B27:I27"/>
    <mergeCell ref="B35:I35"/>
    <mergeCell ref="B36:I36"/>
    <mergeCell ref="B37:I37"/>
    <mergeCell ref="B38:I38"/>
    <mergeCell ref="B20:J20"/>
    <mergeCell ref="B22:J22"/>
    <mergeCell ref="B24:I24"/>
    <mergeCell ref="B25:I25"/>
    <mergeCell ref="B33:I33"/>
    <mergeCell ref="B69:J69"/>
    <mergeCell ref="B40:I40"/>
    <mergeCell ref="B41:I41"/>
    <mergeCell ref="B42:I42"/>
    <mergeCell ref="B43:I43"/>
    <mergeCell ref="B44:I44"/>
    <mergeCell ref="B45:I45"/>
    <mergeCell ref="B58:J58"/>
    <mergeCell ref="B51:I51"/>
    <mergeCell ref="B52:I52"/>
    <mergeCell ref="B53:I53"/>
    <mergeCell ref="B54:I54"/>
    <mergeCell ref="B55:I55"/>
    <mergeCell ref="B57:J57"/>
    <mergeCell ref="B65:I65"/>
    <mergeCell ref="B62:J62"/>
  </mergeCells>
  <pageMargins left="0.511811024" right="0.511811024" top="0.78740157499999996" bottom="0.78740157499999996" header="0.31496062000000002" footer="0.31496062000000002"/>
  <pageSetup paperSize="9" scale="6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98030D-BDDA-4EFC-BFC6-8F07AEAB9842}">
  <dimension ref="B3:J13"/>
  <sheetViews>
    <sheetView view="pageBreakPreview" zoomScale="60" zoomScaleNormal="100" workbookViewId="0">
      <selection activeCell="J11" sqref="J11"/>
    </sheetView>
  </sheetViews>
  <sheetFormatPr defaultRowHeight="14.4"/>
  <cols>
    <col min="6" max="6" width="27" customWidth="1"/>
  </cols>
  <sheetData>
    <row r="3" spans="2:10" s="101" customFormat="1" ht="15.6">
      <c r="B3" s="252" t="s">
        <v>188</v>
      </c>
      <c r="C3" s="252"/>
      <c r="D3" s="252"/>
      <c r="E3" s="252"/>
      <c r="F3" s="252"/>
      <c r="G3" s="252"/>
      <c r="H3" s="252"/>
      <c r="I3" s="252"/>
      <c r="J3" s="252"/>
    </row>
    <row r="4" spans="2:10" s="101" customFormat="1" ht="15.6">
      <c r="B4" s="252" t="s">
        <v>249</v>
      </c>
      <c r="C4" s="252"/>
      <c r="D4" s="252"/>
      <c r="E4" s="252"/>
      <c r="F4" s="252"/>
      <c r="G4" s="252"/>
      <c r="H4" s="252"/>
      <c r="I4" s="252"/>
      <c r="J4" s="252"/>
    </row>
    <row r="5" spans="2:10" ht="39" customHeight="1" thickBot="1"/>
    <row r="6" spans="2:10" ht="25.5" customHeight="1" thickTop="1" thickBot="1">
      <c r="B6" s="253" t="s">
        <v>250</v>
      </c>
      <c r="C6" s="254"/>
      <c r="D6" s="254"/>
      <c r="E6" s="254"/>
      <c r="F6" s="254"/>
      <c r="G6" s="254"/>
      <c r="H6" s="254"/>
      <c r="I6" s="254"/>
      <c r="J6" s="255"/>
    </row>
    <row r="7" spans="2:10" s="96" customFormat="1" ht="24.75" customHeight="1" thickTop="1" thickBot="1">
      <c r="B7" s="256" t="s">
        <v>119</v>
      </c>
      <c r="C7" s="257"/>
      <c r="D7" s="258"/>
      <c r="E7" s="256" t="s">
        <v>251</v>
      </c>
      <c r="F7" s="257"/>
      <c r="G7" s="257"/>
      <c r="H7" s="257"/>
      <c r="I7" s="257"/>
      <c r="J7" s="258"/>
    </row>
    <row r="8" spans="2:10" ht="183" customHeight="1" thickTop="1" thickBot="1">
      <c r="B8" s="248" t="s">
        <v>252</v>
      </c>
      <c r="C8" s="248"/>
      <c r="D8" s="248"/>
      <c r="E8" s="249" t="s">
        <v>253</v>
      </c>
      <c r="F8" s="250"/>
      <c r="G8" s="250"/>
      <c r="H8" s="250"/>
      <c r="I8" s="250"/>
      <c r="J8" s="251"/>
    </row>
    <row r="9" spans="2:10" ht="90" customHeight="1" thickTop="1" thickBot="1">
      <c r="B9" s="248" t="s">
        <v>254</v>
      </c>
      <c r="C9" s="248"/>
      <c r="D9" s="248"/>
      <c r="E9" s="249" t="s">
        <v>255</v>
      </c>
      <c r="F9" s="250"/>
      <c r="G9" s="250"/>
      <c r="H9" s="250"/>
      <c r="I9" s="250"/>
      <c r="J9" s="251"/>
    </row>
    <row r="10" spans="2:10" s="92" customFormat="1" ht="23.25" customHeight="1" thickTop="1" thickBot="1">
      <c r="B10" s="259" t="s">
        <v>256</v>
      </c>
      <c r="C10" s="259"/>
      <c r="D10" s="259"/>
      <c r="E10" s="262" t="s">
        <v>257</v>
      </c>
      <c r="F10" s="262"/>
      <c r="G10" s="262"/>
      <c r="H10" s="262"/>
      <c r="I10" s="115" t="s">
        <v>258</v>
      </c>
      <c r="J10" s="116">
        <v>0.05</v>
      </c>
    </row>
    <row r="11" spans="2:10" s="92" customFormat="1" ht="23.25" customHeight="1" thickTop="1" thickBot="1">
      <c r="B11" s="260"/>
      <c r="C11" s="260"/>
      <c r="D11" s="260"/>
      <c r="E11" s="262" t="s">
        <v>259</v>
      </c>
      <c r="F11" s="262"/>
      <c r="G11" s="262"/>
      <c r="H11" s="262"/>
      <c r="I11" s="115" t="s">
        <v>260</v>
      </c>
      <c r="J11" s="116">
        <v>6.4999999999999997E-3</v>
      </c>
    </row>
    <row r="12" spans="2:10" s="92" customFormat="1" ht="23.25" customHeight="1" thickTop="1" thickBot="1">
      <c r="B12" s="261"/>
      <c r="C12" s="261"/>
      <c r="D12" s="261"/>
      <c r="E12" s="262" t="s">
        <v>261</v>
      </c>
      <c r="F12" s="262"/>
      <c r="G12" s="262"/>
      <c r="H12" s="262"/>
      <c r="I12" s="115" t="s">
        <v>262</v>
      </c>
      <c r="J12" s="116">
        <v>0.03</v>
      </c>
    </row>
    <row r="13" spans="2:10" ht="15" thickTop="1"/>
  </sheetData>
  <mergeCells count="13">
    <mergeCell ref="B9:D9"/>
    <mergeCell ref="E9:J9"/>
    <mergeCell ref="B10:D12"/>
    <mergeCell ref="E10:H10"/>
    <mergeCell ref="E11:H11"/>
    <mergeCell ref="E12:H12"/>
    <mergeCell ref="B8:D8"/>
    <mergeCell ref="E8:J8"/>
    <mergeCell ref="B3:J3"/>
    <mergeCell ref="B4:J4"/>
    <mergeCell ref="B6:J6"/>
    <mergeCell ref="B7:D7"/>
    <mergeCell ref="E7:J7"/>
  </mergeCells>
  <pageMargins left="0.511811024" right="0.511811024" top="0.78740157499999996" bottom="0.78740157499999996" header="0.31496062000000002" footer="0.31496062000000002"/>
  <pageSetup paperSize="9"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P47"/>
  <sheetViews>
    <sheetView tabSelected="1" view="pageBreakPreview" topLeftCell="D1" zoomScaleNormal="100" zoomScaleSheetLayoutView="100" workbookViewId="0">
      <selection activeCell="K38" sqref="K38"/>
    </sheetView>
  </sheetViews>
  <sheetFormatPr defaultRowHeight="14.4"/>
  <cols>
    <col min="1" max="1" width="3.6640625" customWidth="1"/>
    <col min="2" max="2" width="12.109375" style="96" bestFit="1" customWidth="1"/>
    <col min="3" max="4" width="16.33203125" style="96" customWidth="1"/>
    <col min="5" max="5" width="37.109375" style="96" customWidth="1"/>
    <col min="6" max="6" width="14.77734375" customWidth="1"/>
    <col min="7" max="7" width="10.109375" customWidth="1"/>
    <col min="8" max="8" width="14.6640625" customWidth="1"/>
    <col min="9" max="9" width="10.5546875" customWidth="1"/>
    <col min="10" max="10" width="15.88671875" customWidth="1"/>
    <col min="11" max="11" width="17.21875" customWidth="1"/>
    <col min="12" max="12" width="3.33203125" customWidth="1"/>
    <col min="13" max="13" width="13.6640625" customWidth="1"/>
    <col min="14" max="14" width="13.77734375" customWidth="1"/>
    <col min="15" max="15" width="10.44140625" bestFit="1" customWidth="1"/>
    <col min="16" max="16" width="9.33203125" bestFit="1" customWidth="1"/>
  </cols>
  <sheetData>
    <row r="1" spans="2:16" ht="105.6" customHeight="1">
      <c r="B1" s="129" t="s">
        <v>139</v>
      </c>
      <c r="C1" s="129"/>
      <c r="D1" s="129"/>
      <c r="E1" s="129"/>
      <c r="F1" s="129"/>
      <c r="G1" s="129"/>
      <c r="H1" s="129"/>
      <c r="I1" s="129"/>
      <c r="J1" s="129"/>
      <c r="K1" s="129"/>
      <c r="L1" s="95"/>
    </row>
    <row r="2" spans="2:16" ht="21" customHeight="1">
      <c r="B2" s="91"/>
      <c r="C2" s="91"/>
      <c r="D2" s="91"/>
      <c r="E2" s="91"/>
      <c r="F2" s="91"/>
      <c r="G2" s="91"/>
      <c r="H2" s="91"/>
      <c r="I2" s="91"/>
      <c r="J2" s="91"/>
      <c r="K2" s="91"/>
      <c r="L2" s="91"/>
    </row>
    <row r="3" spans="2:16" ht="20.399999999999999" customHeight="1">
      <c r="B3" s="130" t="s">
        <v>102</v>
      </c>
      <c r="C3" s="130"/>
      <c r="D3" s="130"/>
      <c r="E3" s="130"/>
      <c r="F3" s="130"/>
      <c r="G3" s="130"/>
      <c r="H3" s="130"/>
      <c r="I3" s="130"/>
      <c r="J3" s="130"/>
      <c r="K3" s="130"/>
      <c r="L3" s="91"/>
    </row>
    <row r="4" spans="2:16" ht="15.6">
      <c r="L4" s="91"/>
    </row>
    <row r="5" spans="2:16" ht="28.8">
      <c r="B5" s="94" t="s">
        <v>107</v>
      </c>
      <c r="C5" s="94" t="s">
        <v>154</v>
      </c>
      <c r="D5" s="94" t="s">
        <v>155</v>
      </c>
      <c r="E5" s="94" t="s">
        <v>6</v>
      </c>
      <c r="F5" s="94" t="s">
        <v>160</v>
      </c>
      <c r="G5" s="94" t="s">
        <v>161</v>
      </c>
      <c r="H5" s="94" t="s">
        <v>103</v>
      </c>
      <c r="I5" s="94" t="s">
        <v>104</v>
      </c>
      <c r="J5" s="94" t="s">
        <v>105</v>
      </c>
      <c r="K5" s="94" t="s">
        <v>162</v>
      </c>
      <c r="L5" s="91"/>
      <c r="M5" s="118">
        <f>H6+H7</f>
        <v>18723.300000000003</v>
      </c>
    </row>
    <row r="6" spans="2:16" ht="28.8">
      <c r="B6" s="131">
        <v>1</v>
      </c>
      <c r="C6" s="131" t="s">
        <v>156</v>
      </c>
      <c r="D6" s="131" t="s">
        <v>157</v>
      </c>
      <c r="E6" s="69" t="s">
        <v>159</v>
      </c>
      <c r="F6" s="77">
        <f>'A SLZ - DIU'!C135</f>
        <v>4288.51</v>
      </c>
      <c r="G6" s="69">
        <v>2</v>
      </c>
      <c r="H6" s="78">
        <f>ROUND((F6*G6),2)</f>
        <v>8577.02</v>
      </c>
      <c r="I6" s="43">
        <v>2</v>
      </c>
      <c r="J6" s="79">
        <f>ROUND((H6*I6),2)</f>
        <v>17154.04</v>
      </c>
      <c r="K6" s="79">
        <f>ROUND((J6*12),2)</f>
        <v>205848.48</v>
      </c>
      <c r="L6" s="91"/>
      <c r="M6" s="97">
        <v>4288.87</v>
      </c>
      <c r="N6" s="97">
        <f>M6*2</f>
        <v>8577.74</v>
      </c>
      <c r="O6" s="97">
        <f>H6-N6</f>
        <v>-0.71999999999934516</v>
      </c>
      <c r="P6" s="128">
        <f>F6-M6</f>
        <v>-0.35999999999967258</v>
      </c>
    </row>
    <row r="7" spans="2:16" ht="43.2">
      <c r="B7" s="132"/>
      <c r="C7" s="132"/>
      <c r="D7" s="132"/>
      <c r="E7" s="69" t="s">
        <v>158</v>
      </c>
      <c r="F7" s="78">
        <f>'B SLZ - NOT'!C135</f>
        <v>5073.1400000000003</v>
      </c>
      <c r="G7" s="69">
        <v>2</v>
      </c>
      <c r="H7" s="78">
        <f>ROUND((F7*G7),2)</f>
        <v>10146.280000000001</v>
      </c>
      <c r="I7" s="43">
        <v>2</v>
      </c>
      <c r="J7" s="79">
        <f>ROUND((H7*I7),2)</f>
        <v>20292.560000000001</v>
      </c>
      <c r="K7" s="79">
        <f>ROUND((J7*12),2)</f>
        <v>243510.72</v>
      </c>
      <c r="L7" s="91"/>
      <c r="M7" s="97">
        <v>5073.22</v>
      </c>
      <c r="N7" s="97">
        <f>M7*2</f>
        <v>10146.44</v>
      </c>
      <c r="O7" s="97">
        <f>H7-N7</f>
        <v>-0.15999999999985448</v>
      </c>
      <c r="P7" s="128">
        <f>F7-M7</f>
        <v>-7.999999999992724E-2</v>
      </c>
    </row>
    <row r="8" spans="2:16" ht="18" customHeight="1">
      <c r="B8" s="141" t="s">
        <v>163</v>
      </c>
      <c r="C8" s="142"/>
      <c r="D8" s="142"/>
      <c r="E8" s="142"/>
      <c r="F8" s="142"/>
      <c r="G8" s="142"/>
      <c r="H8" s="142"/>
      <c r="I8" s="142"/>
      <c r="J8" s="88">
        <f>ROUND((SUM(J6:J7)),2)</f>
        <v>37446.6</v>
      </c>
      <c r="K8" s="88">
        <f>ROUND((SUM(K6:K7)),2)</f>
        <v>449359.2</v>
      </c>
      <c r="L8" s="91"/>
    </row>
    <row r="10" spans="2:16" ht="28.8">
      <c r="B10" s="94" t="s">
        <v>107</v>
      </c>
      <c r="C10" s="94" t="s">
        <v>154</v>
      </c>
      <c r="D10" s="94" t="s">
        <v>155</v>
      </c>
      <c r="E10" s="94" t="s">
        <v>6</v>
      </c>
      <c r="F10" s="94" t="s">
        <v>160</v>
      </c>
      <c r="G10" s="94" t="s">
        <v>161</v>
      </c>
      <c r="H10" s="94" t="s">
        <v>103</v>
      </c>
      <c r="I10" s="94" t="s">
        <v>104</v>
      </c>
      <c r="J10" s="94" t="s">
        <v>105</v>
      </c>
      <c r="K10" s="94" t="s">
        <v>162</v>
      </c>
      <c r="L10" s="91"/>
      <c r="M10" s="118">
        <f>H11+H12</f>
        <v>18723.300000000003</v>
      </c>
    </row>
    <row r="11" spans="2:16" ht="28.8">
      <c r="B11" s="131">
        <v>2</v>
      </c>
      <c r="C11" s="131" t="s">
        <v>164</v>
      </c>
      <c r="D11" s="131" t="s">
        <v>165</v>
      </c>
      <c r="E11" s="69" t="s">
        <v>159</v>
      </c>
      <c r="F11" s="77">
        <f>'A SLZ - DIU'!C135</f>
        <v>4288.51</v>
      </c>
      <c r="G11" s="69">
        <v>2</v>
      </c>
      <c r="H11" s="78">
        <f>ROUND((F11*G11),2)</f>
        <v>8577.02</v>
      </c>
      <c r="I11" s="43">
        <v>2</v>
      </c>
      <c r="J11" s="79">
        <f>ROUND((H11*I11),2)</f>
        <v>17154.04</v>
      </c>
      <c r="K11" s="79">
        <f>ROUND((J11*12),2)</f>
        <v>205848.48</v>
      </c>
      <c r="L11" s="91"/>
      <c r="M11" s="97">
        <v>4288.87</v>
      </c>
      <c r="N11" s="97">
        <f>M11*2</f>
        <v>8577.74</v>
      </c>
      <c r="O11" s="97">
        <f>H11-N11</f>
        <v>-0.71999999999934516</v>
      </c>
      <c r="P11" s="128">
        <f>F11-M11</f>
        <v>-0.35999999999967258</v>
      </c>
    </row>
    <row r="12" spans="2:16" ht="43.2">
      <c r="B12" s="132"/>
      <c r="C12" s="132"/>
      <c r="D12" s="132"/>
      <c r="E12" s="69" t="s">
        <v>158</v>
      </c>
      <c r="F12" s="78">
        <f>'B SLZ - NOT'!C135</f>
        <v>5073.1400000000003</v>
      </c>
      <c r="G12" s="69">
        <v>2</v>
      </c>
      <c r="H12" s="78">
        <f>ROUND((F12*G12),2)</f>
        <v>10146.280000000001</v>
      </c>
      <c r="I12" s="43">
        <v>2</v>
      </c>
      <c r="J12" s="79">
        <f>ROUND((H12*I12),2)</f>
        <v>20292.560000000001</v>
      </c>
      <c r="K12" s="79">
        <f>ROUND((J12*12),2)</f>
        <v>243510.72</v>
      </c>
      <c r="L12" s="91"/>
      <c r="M12" s="97">
        <v>5073.22</v>
      </c>
      <c r="N12" s="97">
        <f>M12*2</f>
        <v>10146.44</v>
      </c>
      <c r="O12" s="97">
        <f>H12-N12</f>
        <v>-0.15999999999985448</v>
      </c>
      <c r="P12" s="128">
        <f>F12-M12</f>
        <v>-7.999999999992724E-2</v>
      </c>
    </row>
    <row r="13" spans="2:16" ht="18" customHeight="1">
      <c r="B13" s="141" t="s">
        <v>163</v>
      </c>
      <c r="C13" s="142"/>
      <c r="D13" s="142"/>
      <c r="E13" s="142"/>
      <c r="F13" s="142"/>
      <c r="G13" s="142"/>
      <c r="H13" s="142"/>
      <c r="I13" s="142"/>
      <c r="J13" s="88">
        <f>ROUND((SUM(J11:J12)),2)</f>
        <v>37446.6</v>
      </c>
      <c r="K13" s="88">
        <f>ROUND((SUM(K11:K12)),2)</f>
        <v>449359.2</v>
      </c>
      <c r="L13" s="91"/>
    </row>
    <row r="15" spans="2:16" ht="28.8">
      <c r="B15" s="94" t="s">
        <v>107</v>
      </c>
      <c r="C15" s="94" t="s">
        <v>154</v>
      </c>
      <c r="D15" s="94" t="s">
        <v>155</v>
      </c>
      <c r="E15" s="94" t="s">
        <v>6</v>
      </c>
      <c r="F15" s="94" t="s">
        <v>160</v>
      </c>
      <c r="G15" s="94" t="s">
        <v>161</v>
      </c>
      <c r="H15" s="94" t="s">
        <v>103</v>
      </c>
      <c r="I15" s="94" t="s">
        <v>104</v>
      </c>
      <c r="J15" s="94" t="s">
        <v>105</v>
      </c>
      <c r="K15" s="94" t="s">
        <v>162</v>
      </c>
      <c r="L15" s="91"/>
      <c r="M15" s="118">
        <f>H16+H17</f>
        <v>18723.300000000003</v>
      </c>
    </row>
    <row r="16" spans="2:16" ht="28.8">
      <c r="B16" s="131">
        <v>3</v>
      </c>
      <c r="C16" s="131" t="s">
        <v>166</v>
      </c>
      <c r="D16" s="131" t="s">
        <v>167</v>
      </c>
      <c r="E16" s="69" t="s">
        <v>159</v>
      </c>
      <c r="F16" s="77">
        <f>'A SLZ - DIU'!C135</f>
        <v>4288.51</v>
      </c>
      <c r="G16" s="69">
        <v>2</v>
      </c>
      <c r="H16" s="78">
        <f>ROUND((F16*G16),2)</f>
        <v>8577.02</v>
      </c>
      <c r="I16" s="43">
        <v>1</v>
      </c>
      <c r="J16" s="79">
        <f>ROUND((H16*I16),2)</f>
        <v>8577.02</v>
      </c>
      <c r="K16" s="79">
        <f>ROUND((J16*12),2)</f>
        <v>102924.24</v>
      </c>
      <c r="L16" s="91"/>
      <c r="M16" s="97">
        <v>4288.87</v>
      </c>
      <c r="N16" s="97">
        <f>M16*2</f>
        <v>8577.74</v>
      </c>
      <c r="O16" s="97">
        <f>H16-N16</f>
        <v>-0.71999999999934516</v>
      </c>
      <c r="P16" s="128">
        <f>F16-M16</f>
        <v>-0.35999999999967258</v>
      </c>
    </row>
    <row r="17" spans="2:16" ht="43.2">
      <c r="B17" s="132"/>
      <c r="C17" s="132"/>
      <c r="D17" s="132"/>
      <c r="E17" s="69" t="s">
        <v>158</v>
      </c>
      <c r="F17" s="78">
        <f>'B SLZ - NOT'!C135</f>
        <v>5073.1400000000003</v>
      </c>
      <c r="G17" s="69">
        <v>2</v>
      </c>
      <c r="H17" s="78">
        <f>ROUND((F17*G17),2)</f>
        <v>10146.280000000001</v>
      </c>
      <c r="I17" s="43">
        <v>1</v>
      </c>
      <c r="J17" s="79">
        <f>ROUND((H17*I17),2)</f>
        <v>10146.280000000001</v>
      </c>
      <c r="K17" s="79">
        <f>ROUND((J17*12),2)</f>
        <v>121755.36</v>
      </c>
      <c r="L17" s="91"/>
      <c r="M17" s="97">
        <v>5073.22</v>
      </c>
      <c r="N17" s="97">
        <f>M17*2</f>
        <v>10146.44</v>
      </c>
      <c r="O17" s="97">
        <f>H17-N17</f>
        <v>-0.15999999999985448</v>
      </c>
      <c r="P17" s="128">
        <f>F17-M17</f>
        <v>-7.999999999992724E-2</v>
      </c>
    </row>
    <row r="18" spans="2:16" ht="18" customHeight="1">
      <c r="B18" s="141" t="s">
        <v>163</v>
      </c>
      <c r="C18" s="142"/>
      <c r="D18" s="142"/>
      <c r="E18" s="142"/>
      <c r="F18" s="142"/>
      <c r="G18" s="142"/>
      <c r="H18" s="142"/>
      <c r="I18" s="142"/>
      <c r="J18" s="88">
        <f>ROUND((SUM(J16:J17)),2)</f>
        <v>18723.3</v>
      </c>
      <c r="K18" s="88">
        <f>ROUND((SUM(K16:K17)),2)</f>
        <v>224679.6</v>
      </c>
      <c r="L18" s="91"/>
    </row>
    <row r="20" spans="2:16" ht="28.8">
      <c r="B20" s="94" t="s">
        <v>107</v>
      </c>
      <c r="C20" s="94" t="s">
        <v>154</v>
      </c>
      <c r="D20" s="94" t="s">
        <v>155</v>
      </c>
      <c r="E20" s="94" t="s">
        <v>6</v>
      </c>
      <c r="F20" s="94" t="s">
        <v>160</v>
      </c>
      <c r="G20" s="94" t="s">
        <v>161</v>
      </c>
      <c r="H20" s="94" t="s">
        <v>103</v>
      </c>
      <c r="I20" s="94" t="s">
        <v>104</v>
      </c>
      <c r="J20" s="94" t="s">
        <v>105</v>
      </c>
      <c r="K20" s="94" t="s">
        <v>162</v>
      </c>
      <c r="L20" s="91"/>
      <c r="M20" s="118">
        <f>H21+H22</f>
        <v>18723.300000000003</v>
      </c>
    </row>
    <row r="21" spans="2:16" ht="28.8">
      <c r="B21" s="131">
        <v>4</v>
      </c>
      <c r="C21" s="131" t="s">
        <v>168</v>
      </c>
      <c r="D21" s="131" t="s">
        <v>169</v>
      </c>
      <c r="E21" s="69" t="s">
        <v>159</v>
      </c>
      <c r="F21" s="77">
        <f>'A SLZ - DIU'!C135</f>
        <v>4288.51</v>
      </c>
      <c r="G21" s="69">
        <v>2</v>
      </c>
      <c r="H21" s="78">
        <f>ROUND((F21*G21),2)</f>
        <v>8577.02</v>
      </c>
      <c r="I21" s="43">
        <v>1</v>
      </c>
      <c r="J21" s="79">
        <f>ROUND((H21*I21),2)</f>
        <v>8577.02</v>
      </c>
      <c r="K21" s="79">
        <f>ROUND((J21*12),2)</f>
        <v>102924.24</v>
      </c>
      <c r="L21" s="91"/>
      <c r="M21" s="97">
        <v>4288.87</v>
      </c>
      <c r="N21" s="97">
        <f>M21*2</f>
        <v>8577.74</v>
      </c>
      <c r="O21" s="97">
        <f>H21-N21</f>
        <v>-0.71999999999934516</v>
      </c>
      <c r="P21" s="128">
        <f>F21-M21</f>
        <v>-0.35999999999967258</v>
      </c>
    </row>
    <row r="22" spans="2:16" ht="43.2">
      <c r="B22" s="132"/>
      <c r="C22" s="132"/>
      <c r="D22" s="132"/>
      <c r="E22" s="69" t="s">
        <v>158</v>
      </c>
      <c r="F22" s="78">
        <f>'B SLZ - NOT'!C135</f>
        <v>5073.1400000000003</v>
      </c>
      <c r="G22" s="69">
        <v>2</v>
      </c>
      <c r="H22" s="78">
        <f>ROUND((F22*G22),2)</f>
        <v>10146.280000000001</v>
      </c>
      <c r="I22" s="43">
        <v>1</v>
      </c>
      <c r="J22" s="79">
        <f>ROUND((H22*I22),2)</f>
        <v>10146.280000000001</v>
      </c>
      <c r="K22" s="79">
        <f>ROUND((J22*12),2)</f>
        <v>121755.36</v>
      </c>
      <c r="L22" s="91"/>
      <c r="M22" s="97">
        <v>5073.22</v>
      </c>
      <c r="N22" s="97">
        <f>M22*2</f>
        <v>10146.44</v>
      </c>
      <c r="O22" s="97">
        <f>H22-N22</f>
        <v>-0.15999999999985448</v>
      </c>
      <c r="P22" s="128">
        <f>F22-M22</f>
        <v>-7.999999999992724E-2</v>
      </c>
    </row>
    <row r="23" spans="2:16" ht="18" customHeight="1">
      <c r="B23" s="141" t="s">
        <v>163</v>
      </c>
      <c r="C23" s="142"/>
      <c r="D23" s="142"/>
      <c r="E23" s="142"/>
      <c r="F23" s="142"/>
      <c r="G23" s="142"/>
      <c r="H23" s="142"/>
      <c r="I23" s="142"/>
      <c r="J23" s="88">
        <f>ROUND((SUM(J21:J22)),2)</f>
        <v>18723.3</v>
      </c>
      <c r="K23" s="88">
        <f>ROUND((SUM(K21:K22)),2)</f>
        <v>224679.6</v>
      </c>
      <c r="L23" s="91"/>
    </row>
    <row r="25" spans="2:16" s="92" customFormat="1" ht="18" customHeight="1">
      <c r="B25" s="143" t="s">
        <v>170</v>
      </c>
      <c r="C25" s="144"/>
      <c r="D25" s="144"/>
      <c r="E25" s="144"/>
      <c r="F25" s="144"/>
      <c r="G25" s="144"/>
      <c r="H25" s="144"/>
      <c r="I25" s="144"/>
      <c r="J25" s="98">
        <f>ROUND((J8+J13+J18+J23),2)</f>
        <v>112339.8</v>
      </c>
      <c r="K25" s="98">
        <f>ROUND((K8+K13+K18+K23),2)</f>
        <v>1348077.6</v>
      </c>
      <c r="L25" s="99"/>
    </row>
    <row r="27" spans="2:16" ht="28.8">
      <c r="B27" s="94" t="s">
        <v>107</v>
      </c>
      <c r="C27" s="94" t="s">
        <v>154</v>
      </c>
      <c r="D27" s="94" t="s">
        <v>155</v>
      </c>
      <c r="E27" s="94" t="s">
        <v>6</v>
      </c>
      <c r="F27" s="94" t="s">
        <v>160</v>
      </c>
      <c r="G27" s="94" t="s">
        <v>161</v>
      </c>
      <c r="H27" s="94" t="s">
        <v>103</v>
      </c>
      <c r="I27" s="94" t="s">
        <v>104</v>
      </c>
      <c r="J27" s="94" t="s">
        <v>105</v>
      </c>
      <c r="K27" s="94" t="s">
        <v>162</v>
      </c>
      <c r="L27" s="91"/>
      <c r="M27" s="118">
        <f>H28+H29</f>
        <v>18646.919999999998</v>
      </c>
    </row>
    <row r="28" spans="2:16" ht="28.8">
      <c r="B28" s="131">
        <v>5</v>
      </c>
      <c r="C28" s="131" t="s">
        <v>172</v>
      </c>
      <c r="D28" s="131" t="s">
        <v>173</v>
      </c>
      <c r="E28" s="69" t="s">
        <v>159</v>
      </c>
      <c r="F28" s="77">
        <f>'A SJR - DIU (2)'!C135</f>
        <v>4271.41</v>
      </c>
      <c r="G28" s="69">
        <v>2</v>
      </c>
      <c r="H28" s="78">
        <f>ROUND((F28*G28),2)</f>
        <v>8542.82</v>
      </c>
      <c r="I28" s="43">
        <v>1</v>
      </c>
      <c r="J28" s="79">
        <f>ROUND((H28*I28),2)</f>
        <v>8542.82</v>
      </c>
      <c r="K28" s="79">
        <f>ROUND((J28*12),2)</f>
        <v>102513.84</v>
      </c>
      <c r="L28" s="91"/>
      <c r="M28" s="97">
        <v>4271.41</v>
      </c>
      <c r="N28" s="97">
        <f>M28*2</f>
        <v>8542.82</v>
      </c>
      <c r="O28" s="97">
        <f>H28-N28</f>
        <v>0</v>
      </c>
      <c r="P28" s="128">
        <f>F28-M28</f>
        <v>0</v>
      </c>
    </row>
    <row r="29" spans="2:16" ht="43.2">
      <c r="B29" s="132"/>
      <c r="C29" s="132"/>
      <c r="D29" s="132"/>
      <c r="E29" s="69" t="s">
        <v>158</v>
      </c>
      <c r="F29" s="78">
        <f>'B SJR - NOT (2)'!C135</f>
        <v>5052.05</v>
      </c>
      <c r="G29" s="69">
        <v>2</v>
      </c>
      <c r="H29" s="78">
        <f>ROUND((F29*G29),2)</f>
        <v>10104.1</v>
      </c>
      <c r="I29" s="43">
        <v>1</v>
      </c>
      <c r="J29" s="79">
        <f>ROUND((H29*I29),2)</f>
        <v>10104.1</v>
      </c>
      <c r="K29" s="79">
        <f>ROUND((J29*12),2)</f>
        <v>121249.2</v>
      </c>
      <c r="L29" s="91"/>
      <c r="M29" s="97">
        <v>5052.25</v>
      </c>
      <c r="N29" s="97">
        <f>M29*2</f>
        <v>10104.5</v>
      </c>
      <c r="O29" s="97">
        <f>H29-N29</f>
        <v>-0.3999999999996362</v>
      </c>
      <c r="P29" s="128">
        <f>F29-M29</f>
        <v>-0.1999999999998181</v>
      </c>
    </row>
    <row r="30" spans="2:16" ht="18" customHeight="1">
      <c r="B30" s="133" t="s">
        <v>171</v>
      </c>
      <c r="C30" s="134"/>
      <c r="D30" s="134"/>
      <c r="E30" s="134"/>
      <c r="F30" s="134"/>
      <c r="G30" s="134"/>
      <c r="H30" s="134"/>
      <c r="I30" s="134"/>
      <c r="J30" s="98">
        <f>ROUND((SUM(J28:J29)),2)</f>
        <v>18646.919999999998</v>
      </c>
      <c r="K30" s="98">
        <f>ROUND((SUM(K28:K29)),2)</f>
        <v>223763.04</v>
      </c>
      <c r="L30" s="91"/>
    </row>
    <row r="32" spans="2:16" ht="28.8">
      <c r="B32" s="94" t="s">
        <v>107</v>
      </c>
      <c r="C32" s="94" t="s">
        <v>154</v>
      </c>
      <c r="D32" s="94" t="s">
        <v>155</v>
      </c>
      <c r="E32" s="94" t="s">
        <v>6</v>
      </c>
      <c r="F32" s="94" t="s">
        <v>160</v>
      </c>
      <c r="G32" s="94" t="s">
        <v>161</v>
      </c>
      <c r="H32" s="94" t="s">
        <v>103</v>
      </c>
      <c r="I32" s="94" t="s">
        <v>104</v>
      </c>
      <c r="J32" s="94" t="s">
        <v>105</v>
      </c>
      <c r="K32" s="94" t="s">
        <v>162</v>
      </c>
      <c r="L32" s="91"/>
      <c r="M32" s="118">
        <f>H33+H34</f>
        <v>18642.099999999999</v>
      </c>
    </row>
    <row r="33" spans="2:16" ht="28.8">
      <c r="B33" s="131">
        <v>6</v>
      </c>
      <c r="C33" s="131" t="s">
        <v>174</v>
      </c>
      <c r="D33" s="131" t="s">
        <v>175</v>
      </c>
      <c r="E33" s="69" t="s">
        <v>159</v>
      </c>
      <c r="F33" s="77">
        <f>'A PAÇO - DIU (3)'!C135</f>
        <v>4271.41</v>
      </c>
      <c r="G33" s="69">
        <v>2</v>
      </c>
      <c r="H33" s="78">
        <f>ROUND((F33*G33),2)</f>
        <v>8542.82</v>
      </c>
      <c r="I33" s="43">
        <v>1</v>
      </c>
      <c r="J33" s="79">
        <f>ROUND((H33*I33),2)</f>
        <v>8542.82</v>
      </c>
      <c r="K33" s="79">
        <f>ROUND((J33*12),2)</f>
        <v>102513.84</v>
      </c>
      <c r="L33" s="91"/>
      <c r="M33" s="97">
        <v>4271.41</v>
      </c>
      <c r="N33" s="97">
        <f>M33*2</f>
        <v>8542.82</v>
      </c>
      <c r="O33" s="97">
        <f>H33-N33</f>
        <v>0</v>
      </c>
      <c r="P33" s="128">
        <f>F33-M33</f>
        <v>0</v>
      </c>
    </row>
    <row r="34" spans="2:16" ht="43.2">
      <c r="B34" s="132"/>
      <c r="C34" s="132"/>
      <c r="D34" s="132"/>
      <c r="E34" s="69" t="s">
        <v>158</v>
      </c>
      <c r="F34" s="78">
        <f>'B PAÇO - NOT (3)'!C134</f>
        <v>5049.6400000000003</v>
      </c>
      <c r="G34" s="69">
        <v>2</v>
      </c>
      <c r="H34" s="78">
        <f>ROUND((F34*G34),2)</f>
        <v>10099.280000000001</v>
      </c>
      <c r="I34" s="43">
        <v>1</v>
      </c>
      <c r="J34" s="79">
        <f>ROUND((H34*I34),2)</f>
        <v>10099.280000000001</v>
      </c>
      <c r="K34" s="79">
        <f>ROUND((J34*12),2)</f>
        <v>121191.36</v>
      </c>
      <c r="L34" s="91"/>
      <c r="M34" s="97">
        <v>5049.2700000000004</v>
      </c>
      <c r="N34" s="97">
        <f>M34*2</f>
        <v>10098.540000000001</v>
      </c>
      <c r="O34" s="97">
        <f>H34-N34</f>
        <v>0.73999999999978172</v>
      </c>
      <c r="P34" s="128">
        <f>F34-M34</f>
        <v>0.36999999999989086</v>
      </c>
    </row>
    <row r="35" spans="2:16" ht="18" customHeight="1">
      <c r="B35" s="133" t="s">
        <v>176</v>
      </c>
      <c r="C35" s="134"/>
      <c r="D35" s="134"/>
      <c r="E35" s="134"/>
      <c r="F35" s="134"/>
      <c r="G35" s="134"/>
      <c r="H35" s="134"/>
      <c r="I35" s="134"/>
      <c r="J35" s="98">
        <f>ROUND((SUM(J33:J34)),2)</f>
        <v>18642.099999999999</v>
      </c>
      <c r="K35" s="98">
        <f>ROUND((SUM(K33:K34)),2)</f>
        <v>223705.2</v>
      </c>
      <c r="L35" s="91"/>
    </row>
    <row r="36" spans="2:16" ht="15.6">
      <c r="L36" s="91"/>
    </row>
    <row r="37" spans="2:16" s="92" customFormat="1" ht="25.2" customHeight="1">
      <c r="B37" s="135" t="s">
        <v>177</v>
      </c>
      <c r="C37" s="136"/>
      <c r="D37" s="136"/>
      <c r="E37" s="136"/>
      <c r="F37" s="136"/>
      <c r="G37" s="136"/>
      <c r="H37" s="136"/>
      <c r="I37" s="136"/>
      <c r="J37" s="137"/>
      <c r="K37" s="88">
        <f>ROUND((J25+J30+J35),2)</f>
        <v>149628.82</v>
      </c>
      <c r="L37" s="91"/>
      <c r="M37" s="92">
        <v>187201.53</v>
      </c>
      <c r="N37" s="97">
        <f>K37-M37</f>
        <v>-37572.709999999992</v>
      </c>
    </row>
    <row r="38" spans="2:16" s="92" customFormat="1" ht="25.2" customHeight="1">
      <c r="B38" s="138" t="s">
        <v>178</v>
      </c>
      <c r="C38" s="139"/>
      <c r="D38" s="139"/>
      <c r="E38" s="139"/>
      <c r="F38" s="139"/>
      <c r="G38" s="139"/>
      <c r="H38" s="139"/>
      <c r="I38" s="139"/>
      <c r="J38" s="140"/>
      <c r="K38" s="88">
        <f>ROUND((K25+K30+K35),2)</f>
        <v>1795545.84</v>
      </c>
      <c r="L38" s="91"/>
      <c r="M38" s="92">
        <v>1795605.12</v>
      </c>
      <c r="N38" s="97">
        <f>K38-M38</f>
        <v>-59.28000000002794</v>
      </c>
    </row>
    <row r="39" spans="2:16" ht="15.6">
      <c r="L39" s="91"/>
    </row>
    <row r="40" spans="2:16">
      <c r="K40" s="117"/>
    </row>
    <row r="41" spans="2:16">
      <c r="K41" s="263"/>
    </row>
    <row r="42" spans="2:16">
      <c r="K42" s="120"/>
    </row>
    <row r="44" spans="2:16">
      <c r="K44" s="121"/>
    </row>
    <row r="45" spans="2:16">
      <c r="K45" s="117"/>
    </row>
    <row r="47" spans="2:16">
      <c r="K47" s="117"/>
    </row>
  </sheetData>
  <mergeCells count="29">
    <mergeCell ref="B37:J37"/>
    <mergeCell ref="B38:J38"/>
    <mergeCell ref="C6:C7"/>
    <mergeCell ref="D6:D7"/>
    <mergeCell ref="B6:B7"/>
    <mergeCell ref="B13:I13"/>
    <mergeCell ref="B16:B17"/>
    <mergeCell ref="C16:C17"/>
    <mergeCell ref="D16:D17"/>
    <mergeCell ref="B18:I18"/>
    <mergeCell ref="B21:B22"/>
    <mergeCell ref="C21:C22"/>
    <mergeCell ref="D21:D22"/>
    <mergeCell ref="B25:I25"/>
    <mergeCell ref="B23:I23"/>
    <mergeCell ref="B28:B29"/>
    <mergeCell ref="B3:K3"/>
    <mergeCell ref="B1:K1"/>
    <mergeCell ref="B8:I8"/>
    <mergeCell ref="B11:B12"/>
    <mergeCell ref="C11:C12"/>
    <mergeCell ref="D11:D12"/>
    <mergeCell ref="B35:I35"/>
    <mergeCell ref="C28:C29"/>
    <mergeCell ref="D28:D29"/>
    <mergeCell ref="B30:I30"/>
    <mergeCell ref="B33:B34"/>
    <mergeCell ref="C33:C34"/>
    <mergeCell ref="D33:D34"/>
  </mergeCells>
  <pageMargins left="0.511811024" right="0.511811024" top="0.78740157499999996" bottom="0.78740157499999996" header="0.31496062000000002" footer="0.31496062000000002"/>
  <pageSetup paperSize="9" scale="53" fitToHeight="0" orientation="portrait" r:id="rId1"/>
  <headerFooter>
    <oddHeader>&amp;L&amp;G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O186"/>
  <sheetViews>
    <sheetView showGridLines="0" view="pageBreakPreview" topLeftCell="A120" zoomScale="85" zoomScaleNormal="100" zoomScaleSheetLayoutView="85" workbookViewId="0">
      <selection activeCell="F135" sqref="F135"/>
    </sheetView>
  </sheetViews>
  <sheetFormatPr defaultColWidth="9.109375" defaultRowHeight="15.6"/>
  <cols>
    <col min="1" max="1" width="13.5546875" style="3" customWidth="1"/>
    <col min="2" max="2" width="72.109375" style="3" customWidth="1"/>
    <col min="3" max="3" width="18.109375" style="3" customWidth="1"/>
    <col min="4" max="4" width="22.5546875" style="3" customWidth="1"/>
    <col min="5" max="5" width="17.109375" style="3" customWidth="1"/>
    <col min="6" max="6" width="15.109375" style="3" customWidth="1"/>
    <col min="7" max="7" width="17.88671875" style="3" customWidth="1"/>
    <col min="8" max="16384" width="9.109375" style="3"/>
  </cols>
  <sheetData>
    <row r="1" spans="1:8" s="1" customFormat="1" ht="102.6" customHeight="1">
      <c r="A1" s="187" t="s">
        <v>139</v>
      </c>
      <c r="B1" s="188"/>
      <c r="C1" s="188"/>
      <c r="D1" s="189"/>
      <c r="E1" s="92"/>
      <c r="F1" s="92"/>
      <c r="G1" s="92"/>
    </row>
    <row r="2" spans="1:8" ht="47.4" customHeight="1">
      <c r="A2" s="180" t="s">
        <v>147</v>
      </c>
      <c r="B2" s="181"/>
      <c r="C2" s="181"/>
      <c r="D2" s="181"/>
      <c r="E2"/>
    </row>
    <row r="3" spans="1:8">
      <c r="A3" s="18" t="s">
        <v>84</v>
      </c>
      <c r="B3" s="182" t="s">
        <v>140</v>
      </c>
      <c r="C3" s="182"/>
      <c r="D3" s="182"/>
      <c r="E3"/>
    </row>
    <row r="4" spans="1:8">
      <c r="A4" s="18" t="s">
        <v>73</v>
      </c>
      <c r="B4" s="182" t="s">
        <v>141</v>
      </c>
      <c r="C4" s="182"/>
      <c r="D4" s="182"/>
      <c r="E4"/>
      <c r="F4"/>
      <c r="G4"/>
      <c r="H4"/>
    </row>
    <row r="5" spans="1:8">
      <c r="A5" s="18" t="s">
        <v>74</v>
      </c>
      <c r="B5" s="89" t="s">
        <v>142</v>
      </c>
      <c r="C5" s="18" t="s">
        <v>85</v>
      </c>
      <c r="D5" s="57"/>
      <c r="E5"/>
      <c r="F5"/>
      <c r="G5"/>
      <c r="H5"/>
    </row>
    <row r="6" spans="1:8">
      <c r="A6" s="179" t="s">
        <v>75</v>
      </c>
      <c r="B6" s="179"/>
      <c r="C6" s="179"/>
      <c r="D6" s="179"/>
      <c r="E6"/>
      <c r="F6"/>
      <c r="G6"/>
      <c r="H6"/>
    </row>
    <row r="7" spans="1:8" ht="18" customHeight="1">
      <c r="A7" s="17" t="s">
        <v>9</v>
      </c>
      <c r="B7" s="20" t="s">
        <v>76</v>
      </c>
      <c r="C7" s="183">
        <v>45048</v>
      </c>
      <c r="D7" s="184"/>
      <c r="E7"/>
      <c r="F7"/>
      <c r="G7"/>
      <c r="H7"/>
    </row>
    <row r="8" spans="1:8" ht="18" customHeight="1">
      <c r="A8" s="17" t="s">
        <v>11</v>
      </c>
      <c r="B8" s="21" t="s">
        <v>77</v>
      </c>
      <c r="C8" s="184" t="s">
        <v>91</v>
      </c>
      <c r="D8" s="184"/>
      <c r="E8"/>
      <c r="F8"/>
      <c r="G8"/>
      <c r="H8"/>
    </row>
    <row r="9" spans="1:8" ht="18" customHeight="1">
      <c r="A9" s="17" t="s">
        <v>12</v>
      </c>
      <c r="B9" s="19" t="s">
        <v>78</v>
      </c>
      <c r="C9" s="184" t="s">
        <v>143</v>
      </c>
      <c r="D9" s="184"/>
      <c r="E9"/>
      <c r="F9"/>
      <c r="G9"/>
      <c r="H9"/>
    </row>
    <row r="10" spans="1:8" ht="18" customHeight="1">
      <c r="A10" s="17" t="s">
        <v>13</v>
      </c>
      <c r="B10" s="21" t="s">
        <v>79</v>
      </c>
      <c r="C10" s="184">
        <v>12</v>
      </c>
      <c r="D10" s="184"/>
      <c r="E10"/>
      <c r="F10"/>
      <c r="G10"/>
      <c r="H10"/>
    </row>
    <row r="11" spans="1:8">
      <c r="A11" s="179" t="s">
        <v>80</v>
      </c>
      <c r="B11" s="179"/>
      <c r="C11" s="179"/>
      <c r="D11" s="179"/>
      <c r="E11"/>
      <c r="F11"/>
      <c r="G11"/>
      <c r="H11"/>
    </row>
    <row r="12" spans="1:8" ht="48.6" customHeight="1">
      <c r="A12" s="179" t="s">
        <v>81</v>
      </c>
      <c r="B12" s="179"/>
      <c r="C12" s="42" t="s">
        <v>82</v>
      </c>
      <c r="D12" s="55" t="s">
        <v>83</v>
      </c>
      <c r="E12"/>
      <c r="F12"/>
      <c r="G12"/>
      <c r="H12"/>
    </row>
    <row r="13" spans="1:8" ht="30.75" customHeight="1">
      <c r="A13" s="185" t="s">
        <v>136</v>
      </c>
      <c r="B13" s="185"/>
      <c r="C13" s="43" t="s">
        <v>92</v>
      </c>
      <c r="D13" s="43">
        <v>1</v>
      </c>
      <c r="E13"/>
      <c r="F13"/>
      <c r="G13"/>
      <c r="H13"/>
    </row>
    <row r="14" spans="1:8">
      <c r="A14" s="186"/>
      <c r="B14" s="186"/>
      <c r="C14" s="186"/>
      <c r="D14" s="186"/>
    </row>
    <row r="15" spans="1:8">
      <c r="A15" s="171" t="s">
        <v>101</v>
      </c>
      <c r="B15" s="171"/>
      <c r="C15" s="171"/>
      <c r="D15" s="171"/>
    </row>
    <row r="16" spans="1:8" ht="3.75" customHeight="1"/>
    <row r="17" spans="1:6" ht="38.25" customHeight="1">
      <c r="A17" s="10">
        <v>1</v>
      </c>
      <c r="B17" s="10" t="s">
        <v>8</v>
      </c>
      <c r="C17" s="147" t="s">
        <v>97</v>
      </c>
      <c r="D17" s="148"/>
    </row>
    <row r="18" spans="1:6">
      <c r="A18" s="5" t="s">
        <v>9</v>
      </c>
      <c r="B18" s="6" t="s">
        <v>10</v>
      </c>
      <c r="C18" s="145">
        <v>1438.21</v>
      </c>
      <c r="D18" s="146"/>
    </row>
    <row r="19" spans="1:6">
      <c r="A19" s="5" t="s">
        <v>11</v>
      </c>
      <c r="B19" s="6" t="s">
        <v>132</v>
      </c>
      <c r="C19" s="145">
        <f>C18*30/100</f>
        <v>431.46300000000002</v>
      </c>
      <c r="D19" s="146"/>
    </row>
    <row r="20" spans="1:6">
      <c r="A20" s="5" t="s">
        <v>12</v>
      </c>
      <c r="B20" s="6" t="s">
        <v>95</v>
      </c>
      <c r="C20" s="145">
        <f>(C18+C19)/220*0.2*15*7*0</f>
        <v>0</v>
      </c>
      <c r="D20" s="146"/>
    </row>
    <row r="21" spans="1:6">
      <c r="A21" s="5" t="s">
        <v>13</v>
      </c>
      <c r="B21" s="6" t="s">
        <v>96</v>
      </c>
      <c r="C21" s="145">
        <f>(C18+C19+C20)/220*1.5*15*0</f>
        <v>0</v>
      </c>
      <c r="D21" s="146"/>
    </row>
    <row r="22" spans="1:6">
      <c r="A22" s="162" t="s">
        <v>0</v>
      </c>
      <c r="B22" s="162"/>
      <c r="C22" s="190">
        <f>SUM(C18:D21)</f>
        <v>1869.673</v>
      </c>
      <c r="D22" s="191"/>
    </row>
    <row r="24" spans="1:6" ht="32.25" customHeight="1">
      <c r="A24" s="171" t="s">
        <v>18</v>
      </c>
      <c r="B24" s="171"/>
      <c r="C24" s="171"/>
      <c r="D24" s="171"/>
    </row>
    <row r="25" spans="1:6" ht="4.5" customHeight="1">
      <c r="A25" s="2"/>
    </row>
    <row r="26" spans="1:6">
      <c r="A26" s="173" t="s">
        <v>19</v>
      </c>
      <c r="B26" s="173"/>
      <c r="C26" s="173"/>
      <c r="D26" s="173"/>
    </row>
    <row r="27" spans="1:6" ht="2.25" customHeight="1"/>
    <row r="28" spans="1:6">
      <c r="A28" s="10" t="s">
        <v>20</v>
      </c>
      <c r="B28" s="10" t="s">
        <v>21</v>
      </c>
      <c r="C28" s="10" t="s">
        <v>25</v>
      </c>
      <c r="D28" s="10" t="s">
        <v>97</v>
      </c>
      <c r="F28" s="23"/>
    </row>
    <row r="29" spans="1:6">
      <c r="A29" s="5" t="s">
        <v>9</v>
      </c>
      <c r="B29" s="6" t="s">
        <v>144</v>
      </c>
      <c r="C29" s="7">
        <v>8.3299999999999999E-2</v>
      </c>
      <c r="D29" s="36">
        <f>C29*($C$22)</f>
        <v>155.74376090000001</v>
      </c>
    </row>
    <row r="30" spans="1:6">
      <c r="A30" s="5" t="s">
        <v>11</v>
      </c>
      <c r="B30" s="6" t="s">
        <v>145</v>
      </c>
      <c r="C30" s="7">
        <v>0.1111</v>
      </c>
      <c r="D30" s="36">
        <f>C30*($C$22)</f>
        <v>207.72067029999999</v>
      </c>
      <c r="E30" s="44"/>
    </row>
    <row r="31" spans="1:6">
      <c r="A31" s="162" t="s">
        <v>0</v>
      </c>
      <c r="B31" s="162"/>
      <c r="C31" s="8">
        <f>SUM(C29:C30)</f>
        <v>0.19440000000000002</v>
      </c>
      <c r="D31" s="37">
        <f>SUM(D29:D30)</f>
        <v>363.46443120000004</v>
      </c>
    </row>
    <row r="33" spans="1:6">
      <c r="A33" s="192" t="s">
        <v>22</v>
      </c>
      <c r="B33" s="192"/>
      <c r="C33" s="192"/>
      <c r="D33" s="192"/>
    </row>
    <row r="34" spans="1:6" ht="3" customHeight="1"/>
    <row r="35" spans="1:6">
      <c r="A35" s="10" t="s">
        <v>23</v>
      </c>
      <c r="B35" s="10" t="s">
        <v>24</v>
      </c>
      <c r="C35" s="10" t="s">
        <v>25</v>
      </c>
      <c r="D35" s="10" t="s">
        <v>97</v>
      </c>
    </row>
    <row r="36" spans="1:6">
      <c r="A36" s="5" t="s">
        <v>9</v>
      </c>
      <c r="B36" s="6" t="s">
        <v>26</v>
      </c>
      <c r="C36" s="70">
        <v>0.2</v>
      </c>
      <c r="D36" s="35">
        <f>C36*($C$22+$D$31)</f>
        <v>446.62748624</v>
      </c>
    </row>
    <row r="37" spans="1:6">
      <c r="A37" s="5" t="s">
        <v>11</v>
      </c>
      <c r="B37" s="6" t="s">
        <v>27</v>
      </c>
      <c r="C37" s="70">
        <v>2.5000000000000001E-2</v>
      </c>
      <c r="D37" s="35">
        <f t="shared" ref="D37:D43" si="0">C37*($C$22+$D$31)</f>
        <v>55.82843578</v>
      </c>
    </row>
    <row r="38" spans="1:6">
      <c r="A38" s="5" t="s">
        <v>12</v>
      </c>
      <c r="B38" s="6" t="s">
        <v>86</v>
      </c>
      <c r="C38" s="71">
        <v>1.4999999999999999E-2</v>
      </c>
      <c r="D38" s="35">
        <f t="shared" si="0"/>
        <v>33.497061467999998</v>
      </c>
    </row>
    <row r="39" spans="1:6">
      <c r="A39" s="5" t="s">
        <v>13</v>
      </c>
      <c r="B39" s="6" t="s">
        <v>28</v>
      </c>
      <c r="C39" s="70">
        <v>1.4999999999999999E-2</v>
      </c>
      <c r="D39" s="35">
        <f t="shared" si="0"/>
        <v>33.497061467999998</v>
      </c>
    </row>
    <row r="40" spans="1:6">
      <c r="A40" s="5" t="s">
        <v>14</v>
      </c>
      <c r="B40" s="6" t="s">
        <v>29</v>
      </c>
      <c r="C40" s="70">
        <v>0.01</v>
      </c>
      <c r="D40" s="35">
        <f t="shared" si="0"/>
        <v>22.331374311999998</v>
      </c>
    </row>
    <row r="41" spans="1:6">
      <c r="A41" s="5" t="s">
        <v>15</v>
      </c>
      <c r="B41" s="6" t="s">
        <v>1</v>
      </c>
      <c r="C41" s="70">
        <v>6.0000000000000001E-3</v>
      </c>
      <c r="D41" s="35">
        <f t="shared" si="0"/>
        <v>13.3988245872</v>
      </c>
    </row>
    <row r="42" spans="1:6">
      <c r="A42" s="5" t="s">
        <v>16</v>
      </c>
      <c r="B42" s="6" t="s">
        <v>2</v>
      </c>
      <c r="C42" s="70">
        <v>2E-3</v>
      </c>
      <c r="D42" s="35">
        <f t="shared" si="0"/>
        <v>4.4662748623999997</v>
      </c>
    </row>
    <row r="43" spans="1:6">
      <c r="A43" s="5" t="s">
        <v>30</v>
      </c>
      <c r="B43" s="6" t="s">
        <v>3</v>
      </c>
      <c r="C43" s="70">
        <v>0.08</v>
      </c>
      <c r="D43" s="35">
        <f t="shared" si="0"/>
        <v>178.65099449599998</v>
      </c>
    </row>
    <row r="44" spans="1:6">
      <c r="A44" s="162" t="s">
        <v>31</v>
      </c>
      <c r="B44" s="162"/>
      <c r="C44" s="9">
        <f>SUM(C36:C43)</f>
        <v>0.35300000000000004</v>
      </c>
      <c r="D44" s="45">
        <f>SUM(D36:D43)</f>
        <v>788.29751321359993</v>
      </c>
    </row>
    <row r="46" spans="1:6">
      <c r="A46" s="171" t="s">
        <v>32</v>
      </c>
      <c r="B46" s="171"/>
      <c r="C46" s="171"/>
      <c r="D46" s="171"/>
    </row>
    <row r="47" spans="1:6" ht="3" customHeight="1"/>
    <row r="48" spans="1:6" ht="42" customHeight="1">
      <c r="A48" s="10" t="s">
        <v>33</v>
      </c>
      <c r="B48" s="10" t="s">
        <v>34</v>
      </c>
      <c r="C48" s="147" t="s">
        <v>97</v>
      </c>
      <c r="D48" s="148"/>
      <c r="F48" s="22"/>
    </row>
    <row r="49" spans="1:6">
      <c r="A49" s="5" t="s">
        <v>9</v>
      </c>
      <c r="B49" s="6" t="s">
        <v>137</v>
      </c>
      <c r="C49" s="145">
        <f>(4.2*2*15)-(C18*6%)</f>
        <v>39.707400000000007</v>
      </c>
      <c r="D49" s="146"/>
      <c r="E49" s="34"/>
      <c r="F49" s="22"/>
    </row>
    <row r="50" spans="1:6">
      <c r="A50" s="5" t="s">
        <v>11</v>
      </c>
      <c r="B50" s="124" t="s">
        <v>268</v>
      </c>
      <c r="C50" s="149">
        <f>(23.12*15)*0.9</f>
        <v>312.12</v>
      </c>
      <c r="D50" s="150"/>
    </row>
    <row r="51" spans="1:6">
      <c r="A51" s="5" t="s">
        <v>12</v>
      </c>
      <c r="B51" s="6" t="s">
        <v>93</v>
      </c>
      <c r="C51" s="145">
        <f>3.8%*C18</f>
        <v>54.651980000000002</v>
      </c>
      <c r="D51" s="146"/>
    </row>
    <row r="52" spans="1:6">
      <c r="A52" s="5" t="s">
        <v>13</v>
      </c>
      <c r="B52" s="6" t="s">
        <v>263</v>
      </c>
      <c r="C52" s="145">
        <v>5.6</v>
      </c>
      <c r="D52" s="146"/>
    </row>
    <row r="53" spans="1:6">
      <c r="A53" s="5" t="s">
        <v>14</v>
      </c>
      <c r="B53" s="6" t="s">
        <v>146</v>
      </c>
      <c r="C53" s="145">
        <v>97</v>
      </c>
      <c r="D53" s="146"/>
    </row>
    <row r="54" spans="1:6">
      <c r="A54" s="5" t="s">
        <v>15</v>
      </c>
      <c r="B54" s="6" t="s">
        <v>94</v>
      </c>
      <c r="C54" s="145">
        <v>1.5</v>
      </c>
      <c r="D54" s="146"/>
    </row>
    <row r="55" spans="1:6">
      <c r="A55" s="162" t="s">
        <v>0</v>
      </c>
      <c r="B55" s="162"/>
      <c r="C55" s="151">
        <f>SUM(C49:C54)</f>
        <v>510.57938000000001</v>
      </c>
      <c r="D55" s="152"/>
      <c r="E55" s="27"/>
    </row>
    <row r="57" spans="1:6" ht="27.75" customHeight="1">
      <c r="A57" s="172" t="s">
        <v>35</v>
      </c>
      <c r="B57" s="172"/>
      <c r="C57" s="172"/>
      <c r="D57" s="172"/>
    </row>
    <row r="58" spans="1:6" ht="3" customHeight="1"/>
    <row r="59" spans="1:6">
      <c r="A59" s="10">
        <v>2</v>
      </c>
      <c r="B59" s="10" t="s">
        <v>36</v>
      </c>
      <c r="C59" s="147" t="str">
        <f>C48</f>
        <v>VALOR</v>
      </c>
      <c r="D59" s="148"/>
    </row>
    <row r="60" spans="1:6">
      <c r="A60" s="5" t="s">
        <v>20</v>
      </c>
      <c r="B60" s="6" t="s">
        <v>21</v>
      </c>
      <c r="C60" s="145">
        <f>D31</f>
        <v>363.46443120000004</v>
      </c>
      <c r="D60" s="146"/>
    </row>
    <row r="61" spans="1:6">
      <c r="A61" s="5" t="s">
        <v>23</v>
      </c>
      <c r="B61" s="6" t="s">
        <v>24</v>
      </c>
      <c r="C61" s="145">
        <f>D44</f>
        <v>788.29751321359993</v>
      </c>
      <c r="D61" s="146"/>
    </row>
    <row r="62" spans="1:6">
      <c r="A62" s="5" t="s">
        <v>33</v>
      </c>
      <c r="B62" s="6" t="s">
        <v>34</v>
      </c>
      <c r="C62" s="145">
        <f>C55</f>
        <v>510.57938000000001</v>
      </c>
      <c r="D62" s="146"/>
    </row>
    <row r="63" spans="1:6">
      <c r="A63" s="162" t="s">
        <v>0</v>
      </c>
      <c r="B63" s="162"/>
      <c r="C63" s="155">
        <f>SUM(C60:C62)</f>
        <v>1662.3413244136</v>
      </c>
      <c r="D63" s="156"/>
    </row>
    <row r="64" spans="1:6">
      <c r="A64" s="1"/>
    </row>
    <row r="65" spans="1:5">
      <c r="A65" s="171" t="s">
        <v>37</v>
      </c>
      <c r="B65" s="171"/>
      <c r="C65" s="171"/>
      <c r="D65" s="171"/>
    </row>
    <row r="66" spans="1:5" ht="3.75" customHeight="1"/>
    <row r="67" spans="1:5">
      <c r="A67" s="12">
        <v>3</v>
      </c>
      <c r="B67" s="12" t="s">
        <v>38</v>
      </c>
      <c r="C67" s="12" t="s">
        <v>70</v>
      </c>
      <c r="D67" s="12" t="str">
        <f>C59</f>
        <v>VALOR</v>
      </c>
    </row>
    <row r="68" spans="1:5">
      <c r="A68" s="5" t="s">
        <v>9</v>
      </c>
      <c r="B68" s="11" t="s">
        <v>39</v>
      </c>
      <c r="C68" s="70">
        <f>SUM((1/12)*0.05)</f>
        <v>4.1666666666666666E-3</v>
      </c>
      <c r="D68" s="35">
        <f>C68*($C$22)</f>
        <v>7.7903041666666661</v>
      </c>
    </row>
    <row r="69" spans="1:5">
      <c r="A69" s="5" t="s">
        <v>11</v>
      </c>
      <c r="B69" s="11" t="s">
        <v>40</v>
      </c>
      <c r="C69" s="70">
        <f>0.42%*8%</f>
        <v>3.3599999999999998E-4</v>
      </c>
      <c r="D69" s="35">
        <f t="shared" ref="D69:D73" si="1">C69*($C$22)</f>
        <v>0.62821012799999998</v>
      </c>
    </row>
    <row r="70" spans="1:5" ht="19.5" customHeight="1">
      <c r="A70" s="5" t="s">
        <v>12</v>
      </c>
      <c r="B70" s="11" t="s">
        <v>41</v>
      </c>
      <c r="C70" s="70">
        <v>1.1999999999999999E-3</v>
      </c>
      <c r="D70" s="35">
        <f t="shared" si="1"/>
        <v>2.2436075999999998</v>
      </c>
    </row>
    <row r="71" spans="1:5">
      <c r="A71" s="5" t="s">
        <v>13</v>
      </c>
      <c r="B71" s="11" t="s">
        <v>42</v>
      </c>
      <c r="C71" s="70">
        <v>1.9400000000000001E-2</v>
      </c>
      <c r="D71" s="35">
        <f t="shared" si="1"/>
        <v>36.271656200000002</v>
      </c>
      <c r="E71" s="25"/>
    </row>
    <row r="72" spans="1:5">
      <c r="A72" s="5" t="s">
        <v>14</v>
      </c>
      <c r="B72" s="11" t="s">
        <v>43</v>
      </c>
      <c r="C72" s="70">
        <f>C71*C44</f>
        <v>6.8482000000000013E-3</v>
      </c>
      <c r="D72" s="35">
        <f t="shared" si="1"/>
        <v>12.803894638600003</v>
      </c>
      <c r="E72" s="26"/>
    </row>
    <row r="73" spans="1:5">
      <c r="A73" s="5" t="s">
        <v>15</v>
      </c>
      <c r="B73" s="11" t="s">
        <v>44</v>
      </c>
      <c r="C73" s="70">
        <v>3.8800000000000001E-2</v>
      </c>
      <c r="D73" s="35">
        <f t="shared" si="1"/>
        <v>72.543312400000005</v>
      </c>
    </row>
    <row r="74" spans="1:5">
      <c r="A74" s="162" t="s">
        <v>0</v>
      </c>
      <c r="B74" s="162"/>
      <c r="C74" s="9">
        <f>SUM(C68:C73)</f>
        <v>7.0750866666666662E-2</v>
      </c>
      <c r="D74" s="37">
        <f>SUM(D68:D73)</f>
        <v>132.28098513326665</v>
      </c>
    </row>
    <row r="76" spans="1:5">
      <c r="A76" s="171" t="s">
        <v>45</v>
      </c>
      <c r="B76" s="171"/>
      <c r="C76" s="171"/>
      <c r="D76" s="171"/>
    </row>
    <row r="77" spans="1:5" ht="3" customHeight="1"/>
    <row r="78" spans="1:5">
      <c r="A78" s="173" t="s">
        <v>46</v>
      </c>
      <c r="B78" s="173"/>
      <c r="C78" s="173"/>
      <c r="D78" s="173"/>
    </row>
    <row r="79" spans="1:5" ht="3" customHeight="1">
      <c r="A79" s="2"/>
    </row>
    <row r="80" spans="1:5">
      <c r="A80" s="12" t="s">
        <v>47</v>
      </c>
      <c r="B80" s="12" t="s">
        <v>48</v>
      </c>
      <c r="C80" s="12" t="s">
        <v>71</v>
      </c>
      <c r="D80" s="12" t="str">
        <f>D67</f>
        <v>VALOR</v>
      </c>
      <c r="E80" s="93"/>
    </row>
    <row r="81" spans="1:5">
      <c r="A81" s="5" t="s">
        <v>9</v>
      </c>
      <c r="B81" s="6" t="s">
        <v>90</v>
      </c>
      <c r="C81" s="70">
        <f>11.11%/12</f>
        <v>9.258333333333332E-3</v>
      </c>
      <c r="D81" s="36">
        <f>C81*($C$22)</f>
        <v>17.310055858333332</v>
      </c>
      <c r="E81" s="93"/>
    </row>
    <row r="82" spans="1:5">
      <c r="A82" s="5" t="s">
        <v>11</v>
      </c>
      <c r="B82" s="6" t="s">
        <v>48</v>
      </c>
      <c r="C82" s="70">
        <v>2.8E-3</v>
      </c>
      <c r="D82" s="36">
        <f t="shared" ref="D82:D85" si="2">C82*($C$22)</f>
        <v>5.2350843999999999</v>
      </c>
    </row>
    <row r="83" spans="1:5">
      <c r="A83" s="5" t="s">
        <v>12</v>
      </c>
      <c r="B83" s="6" t="s">
        <v>49</v>
      </c>
      <c r="C83" s="72">
        <v>2.0000000000000001E-4</v>
      </c>
      <c r="D83" s="36">
        <f t="shared" si="2"/>
        <v>0.37393460000000001</v>
      </c>
    </row>
    <row r="84" spans="1:5">
      <c r="A84" s="5" t="s">
        <v>13</v>
      </c>
      <c r="B84" s="6" t="s">
        <v>50</v>
      </c>
      <c r="C84" s="72">
        <v>8.0000000000000004E-4</v>
      </c>
      <c r="D84" s="36">
        <f t="shared" si="2"/>
        <v>1.4957384</v>
      </c>
    </row>
    <row r="85" spans="1:5">
      <c r="A85" s="5" t="s">
        <v>14</v>
      </c>
      <c r="B85" s="6" t="s">
        <v>138</v>
      </c>
      <c r="C85" s="80">
        <v>2.9999999999999997E-4</v>
      </c>
      <c r="D85" s="36">
        <f t="shared" si="2"/>
        <v>0.56090189999999995</v>
      </c>
      <c r="E85" s="27"/>
    </row>
    <row r="86" spans="1:5">
      <c r="A86" s="5" t="s">
        <v>15</v>
      </c>
      <c r="B86" s="6" t="s">
        <v>87</v>
      </c>
      <c r="C86" s="80">
        <v>0</v>
      </c>
      <c r="D86" s="36">
        <f>C86*($C$22)</f>
        <v>0</v>
      </c>
      <c r="E86" s="28"/>
    </row>
    <row r="87" spans="1:5" ht="21.75" customHeight="1">
      <c r="A87" s="174" t="s">
        <v>31</v>
      </c>
      <c r="B87" s="174"/>
      <c r="C87" s="14">
        <f>SUM(C81:C86)</f>
        <v>1.3358333333333333E-2</v>
      </c>
      <c r="D87" s="38">
        <f>SUM(D81:D86)</f>
        <v>24.975715158333333</v>
      </c>
      <c r="E87" s="30"/>
    </row>
    <row r="89" spans="1:5">
      <c r="A89" s="173" t="s">
        <v>51</v>
      </c>
      <c r="B89" s="173"/>
      <c r="C89" s="173"/>
      <c r="D89" s="173"/>
    </row>
    <row r="90" spans="1:5" ht="3" customHeight="1">
      <c r="A90" s="2"/>
    </row>
    <row r="91" spans="1:5">
      <c r="A91" s="12" t="s">
        <v>52</v>
      </c>
      <c r="B91" s="12" t="s">
        <v>53</v>
      </c>
      <c r="C91" s="175" t="str">
        <f>D80</f>
        <v>VALOR</v>
      </c>
      <c r="D91" s="176"/>
    </row>
    <row r="92" spans="1:5">
      <c r="A92" s="5" t="s">
        <v>9</v>
      </c>
      <c r="B92" s="6" t="s">
        <v>67</v>
      </c>
      <c r="C92" s="145">
        <f>(C18+C19)/220*1.5*15</f>
        <v>191.21655681818183</v>
      </c>
      <c r="D92" s="146"/>
    </row>
    <row r="93" spans="1:5" hidden="1">
      <c r="A93" s="5" t="s">
        <v>11</v>
      </c>
      <c r="B93" s="6" t="s">
        <v>146</v>
      </c>
      <c r="C93" s="145">
        <v>0</v>
      </c>
      <c r="D93" s="146"/>
    </row>
    <row r="94" spans="1:5">
      <c r="A94" s="174" t="s">
        <v>0</v>
      </c>
      <c r="B94" s="174"/>
      <c r="C94" s="153">
        <f>SUM(C92:D93)</f>
        <v>191.21655681818183</v>
      </c>
      <c r="D94" s="154"/>
    </row>
    <row r="96" spans="1:5" ht="20.399999999999999">
      <c r="A96" s="172" t="s">
        <v>54</v>
      </c>
      <c r="B96" s="172"/>
      <c r="C96" s="172"/>
      <c r="D96" s="172"/>
    </row>
    <row r="97" spans="1:15" ht="4.5" customHeight="1">
      <c r="A97" s="2"/>
    </row>
    <row r="98" spans="1:15">
      <c r="A98" s="10">
        <v>4</v>
      </c>
      <c r="B98" s="10" t="s">
        <v>55</v>
      </c>
      <c r="C98" s="147" t="str">
        <f>C91</f>
        <v>VALOR</v>
      </c>
      <c r="D98" s="148"/>
    </row>
    <row r="99" spans="1:15">
      <c r="A99" s="5" t="s">
        <v>47</v>
      </c>
      <c r="B99" s="6" t="s">
        <v>48</v>
      </c>
      <c r="C99" s="145">
        <f>D87</f>
        <v>24.975715158333333</v>
      </c>
      <c r="D99" s="146"/>
    </row>
    <row r="100" spans="1:15">
      <c r="A100" s="5" t="s">
        <v>52</v>
      </c>
      <c r="B100" s="6" t="s">
        <v>53</v>
      </c>
      <c r="C100" s="145">
        <f>C94</f>
        <v>191.21655681818183</v>
      </c>
      <c r="D100" s="146"/>
    </row>
    <row r="101" spans="1:15">
      <c r="A101" s="162" t="s">
        <v>0</v>
      </c>
      <c r="B101" s="162"/>
      <c r="C101" s="177">
        <f>SUM(C99:D100)</f>
        <v>216.19227197651517</v>
      </c>
      <c r="D101" s="178"/>
    </row>
    <row r="102" spans="1:15">
      <c r="C102" s="40"/>
    </row>
    <row r="103" spans="1:15">
      <c r="A103" s="171" t="s">
        <v>56</v>
      </c>
      <c r="B103" s="171"/>
      <c r="C103" s="171"/>
    </row>
    <row r="104" spans="1:15" ht="3" customHeight="1"/>
    <row r="105" spans="1:15">
      <c r="A105" s="4">
        <v>5</v>
      </c>
      <c r="B105" s="15" t="s">
        <v>4</v>
      </c>
      <c r="C105" s="147" t="str">
        <f>C98</f>
        <v>VALOR</v>
      </c>
      <c r="D105" s="148"/>
    </row>
    <row r="106" spans="1:15">
      <c r="A106" s="5" t="s">
        <v>9</v>
      </c>
      <c r="B106" s="6" t="s">
        <v>57</v>
      </c>
      <c r="C106" s="145">
        <f>Uniformes!H14</f>
        <v>13.416666666666668</v>
      </c>
      <c r="D106" s="146"/>
      <c r="O106" s="39"/>
    </row>
    <row r="107" spans="1:15">
      <c r="A107" s="5" t="s">
        <v>11</v>
      </c>
      <c r="B107" s="6" t="s">
        <v>58</v>
      </c>
      <c r="C107" s="157">
        <f>Uniformes!H32</f>
        <v>4.1333333333333337</v>
      </c>
      <c r="D107" s="158"/>
    </row>
    <row r="108" spans="1:15">
      <c r="A108" s="5" t="s">
        <v>12</v>
      </c>
      <c r="B108" s="6" t="s">
        <v>59</v>
      </c>
      <c r="C108" s="159"/>
      <c r="D108" s="160"/>
    </row>
    <row r="109" spans="1:15">
      <c r="A109" s="5" t="s">
        <v>13</v>
      </c>
      <c r="B109" s="6" t="s">
        <v>17</v>
      </c>
      <c r="C109" s="145"/>
      <c r="D109" s="146"/>
    </row>
    <row r="110" spans="1:15">
      <c r="A110" s="162" t="s">
        <v>31</v>
      </c>
      <c r="B110" s="162"/>
      <c r="C110" s="155">
        <f>SUM(C106:D109)</f>
        <v>17.55</v>
      </c>
      <c r="D110" s="156"/>
    </row>
    <row r="112" spans="1:15">
      <c r="A112" s="161" t="s">
        <v>60</v>
      </c>
      <c r="B112" s="161"/>
      <c r="C112" s="161"/>
      <c r="D112" s="161"/>
    </row>
    <row r="113" spans="1:6" ht="3" customHeight="1"/>
    <row r="114" spans="1:6">
      <c r="A114" s="41">
        <v>6</v>
      </c>
      <c r="B114" s="16" t="s">
        <v>5</v>
      </c>
      <c r="C114" s="41" t="s">
        <v>25</v>
      </c>
      <c r="D114" s="10" t="s">
        <v>97</v>
      </c>
    </row>
    <row r="115" spans="1:6">
      <c r="A115" s="5" t="s">
        <v>9</v>
      </c>
      <c r="B115" s="6" t="s">
        <v>88</v>
      </c>
      <c r="C115" s="13">
        <v>2.5000000000000001E-3</v>
      </c>
      <c r="D115" s="35">
        <f>C115*C133</f>
        <v>9.7450939538084551</v>
      </c>
      <c r="E115" s="29"/>
    </row>
    <row r="116" spans="1:6">
      <c r="A116" s="5" t="s">
        <v>11</v>
      </c>
      <c r="B116" s="6" t="s">
        <v>89</v>
      </c>
      <c r="C116" s="13">
        <v>2.5000000000000001E-3</v>
      </c>
      <c r="D116" s="35">
        <f>C116*(D115+C133)</f>
        <v>9.7694566886929763</v>
      </c>
      <c r="E116" s="29"/>
      <c r="F116" s="46"/>
    </row>
    <row r="117" spans="1:6" ht="31.2">
      <c r="A117" s="4" t="s">
        <v>12</v>
      </c>
      <c r="B117" s="15" t="s">
        <v>267</v>
      </c>
      <c r="C117" s="73">
        <v>8.6499999999999994E-2</v>
      </c>
      <c r="D117" s="75">
        <f>D118+D119+D120+D121</f>
        <v>370.95594902282312</v>
      </c>
      <c r="E117" s="33"/>
    </row>
    <row r="118" spans="1:6" ht="31.2">
      <c r="A118" s="5"/>
      <c r="B118" s="6" t="s">
        <v>98</v>
      </c>
      <c r="C118" s="74">
        <v>6.4999999999999997E-3</v>
      </c>
      <c r="D118" s="36">
        <f>((D115+D116+C133)/0.9135)*C118</f>
        <v>27.875302527726589</v>
      </c>
      <c r="E118" s="47"/>
    </row>
    <row r="119" spans="1:6" ht="31.2">
      <c r="A119" s="5"/>
      <c r="B119" s="6" t="s">
        <v>99</v>
      </c>
      <c r="C119" s="74">
        <v>0.03</v>
      </c>
      <c r="D119" s="36">
        <f>((D115+D116+C133)/0.9135)*C119</f>
        <v>128.65524243566119</v>
      </c>
      <c r="E119" s="47"/>
      <c r="F119" s="122">
        <f>RESUMO!K42</f>
        <v>0</v>
      </c>
    </row>
    <row r="120" spans="1:6">
      <c r="A120" s="5"/>
      <c r="B120" s="6" t="s">
        <v>61</v>
      </c>
      <c r="C120" s="74"/>
      <c r="D120" s="51"/>
      <c r="E120" s="48"/>
    </row>
    <row r="121" spans="1:6" ht="31.2">
      <c r="A121" s="5"/>
      <c r="B121" s="6" t="s">
        <v>100</v>
      </c>
      <c r="C121" s="74">
        <v>0.05</v>
      </c>
      <c r="D121" s="36">
        <f>((D115+D116+C133)/0.9135)*C121</f>
        <v>214.42540405943532</v>
      </c>
      <c r="E121" s="48"/>
    </row>
    <row r="122" spans="1:6">
      <c r="A122" s="169" t="s">
        <v>31</v>
      </c>
      <c r="B122" s="169"/>
      <c r="C122" s="8">
        <f>C115+C116+C117</f>
        <v>9.1499999999999998E-2</v>
      </c>
      <c r="D122" s="52">
        <f>D115+D116+D117</f>
        <v>390.47049966532455</v>
      </c>
      <c r="E122" s="31"/>
    </row>
    <row r="123" spans="1:6">
      <c r="A123" s="170" t="s">
        <v>72</v>
      </c>
      <c r="B123" s="53">
        <f>(1-(0.65%+3%+5%)/1)</f>
        <v>0.91349999999999998</v>
      </c>
      <c r="E123" s="32"/>
    </row>
    <row r="124" spans="1:6" ht="10.5" customHeight="1">
      <c r="A124" s="170"/>
      <c r="B124" s="54"/>
    </row>
    <row r="125" spans="1:6">
      <c r="A125" s="161" t="s">
        <v>62</v>
      </c>
      <c r="B125" s="161"/>
      <c r="C125" s="161"/>
      <c r="D125" s="161"/>
      <c r="E125" s="23"/>
      <c r="F125" s="22"/>
    </row>
    <row r="126" spans="1:6" ht="3" customHeight="1"/>
    <row r="127" spans="1:6">
      <c r="A127" s="10"/>
      <c r="B127" s="10" t="s">
        <v>63</v>
      </c>
      <c r="C127" s="147" t="s">
        <v>97</v>
      </c>
      <c r="D127" s="148"/>
    </row>
    <row r="128" spans="1:6">
      <c r="A128" s="4" t="s">
        <v>9</v>
      </c>
      <c r="B128" s="6" t="s">
        <v>7</v>
      </c>
      <c r="C128" s="163">
        <f>C22</f>
        <v>1869.673</v>
      </c>
      <c r="D128" s="164"/>
    </row>
    <row r="129" spans="1:6">
      <c r="A129" s="4" t="s">
        <v>11</v>
      </c>
      <c r="B129" s="6" t="s">
        <v>18</v>
      </c>
      <c r="C129" s="163">
        <f>C63</f>
        <v>1662.3413244136</v>
      </c>
      <c r="D129" s="164"/>
    </row>
    <row r="130" spans="1:6">
      <c r="A130" s="4" t="s">
        <v>12</v>
      </c>
      <c r="B130" s="6" t="s">
        <v>37</v>
      </c>
      <c r="C130" s="163">
        <f>D74</f>
        <v>132.28098513326665</v>
      </c>
      <c r="D130" s="164"/>
    </row>
    <row r="131" spans="1:6">
      <c r="A131" s="4" t="s">
        <v>13</v>
      </c>
      <c r="B131" s="6" t="s">
        <v>45</v>
      </c>
      <c r="C131" s="163">
        <f>C101</f>
        <v>216.19227197651517</v>
      </c>
      <c r="D131" s="164"/>
    </row>
    <row r="132" spans="1:6">
      <c r="A132" s="4" t="s">
        <v>14</v>
      </c>
      <c r="B132" s="6" t="s">
        <v>56</v>
      </c>
      <c r="C132" s="163">
        <f>C110</f>
        <v>17.55</v>
      </c>
      <c r="D132" s="164"/>
    </row>
    <row r="133" spans="1:6" ht="16.2">
      <c r="A133" s="162" t="s">
        <v>64</v>
      </c>
      <c r="B133" s="162"/>
      <c r="C133" s="165">
        <f>SUM(C128:D132)</f>
        <v>3898.037581523382</v>
      </c>
      <c r="D133" s="166"/>
      <c r="E133" s="23"/>
      <c r="F133" s="23"/>
    </row>
    <row r="134" spans="1:6">
      <c r="A134" s="4" t="s">
        <v>15</v>
      </c>
      <c r="B134" s="6" t="s">
        <v>65</v>
      </c>
      <c r="C134" s="167">
        <f>D115+D116+D117</f>
        <v>390.47049966532455</v>
      </c>
      <c r="D134" s="168"/>
    </row>
    <row r="135" spans="1:6">
      <c r="A135" s="162" t="s">
        <v>66</v>
      </c>
      <c r="B135" s="162"/>
      <c r="C135" s="155">
        <f>ROUND((C133+C134),2)</f>
        <v>4288.51</v>
      </c>
      <c r="D135" s="156"/>
      <c r="F135" s="3">
        <v>4288.87</v>
      </c>
    </row>
    <row r="136" spans="1:6">
      <c r="A136"/>
      <c r="B136"/>
      <c r="C136" s="24"/>
      <c r="D136"/>
      <c r="E136"/>
      <c r="F136" s="93">
        <f>C135-F135</f>
        <v>-0.35999999999967258</v>
      </c>
    </row>
    <row r="137" spans="1:6">
      <c r="D137" s="49"/>
    </row>
    <row r="138" spans="1:6">
      <c r="D138" s="50"/>
    </row>
    <row r="185" ht="1.8" customHeight="1"/>
    <row r="186" ht="7.2" hidden="1" customHeight="1"/>
  </sheetData>
  <mergeCells count="82">
    <mergeCell ref="A55:B55"/>
    <mergeCell ref="A13:B13"/>
    <mergeCell ref="A14:D14"/>
    <mergeCell ref="A15:D15"/>
    <mergeCell ref="A1:D1"/>
    <mergeCell ref="A44:B44"/>
    <mergeCell ref="A46:D46"/>
    <mergeCell ref="C17:D17"/>
    <mergeCell ref="C18:D18"/>
    <mergeCell ref="C19:D19"/>
    <mergeCell ref="C22:D22"/>
    <mergeCell ref="A22:B22"/>
    <mergeCell ref="A24:D24"/>
    <mergeCell ref="A26:D26"/>
    <mergeCell ref="A31:B31"/>
    <mergeCell ref="A33:D33"/>
    <mergeCell ref="A12:B12"/>
    <mergeCell ref="A2:D2"/>
    <mergeCell ref="B3:D3"/>
    <mergeCell ref="B4:D4"/>
    <mergeCell ref="A6:D6"/>
    <mergeCell ref="C7:D7"/>
    <mergeCell ref="C8:D8"/>
    <mergeCell ref="C9:D9"/>
    <mergeCell ref="C10:D10"/>
    <mergeCell ref="A11:D11"/>
    <mergeCell ref="A103:C103"/>
    <mergeCell ref="A57:D57"/>
    <mergeCell ref="A63:B63"/>
    <mergeCell ref="A65:D65"/>
    <mergeCell ref="A74:B74"/>
    <mergeCell ref="A76:D76"/>
    <mergeCell ref="A78:D78"/>
    <mergeCell ref="A87:B87"/>
    <mergeCell ref="A89:D89"/>
    <mergeCell ref="A94:B94"/>
    <mergeCell ref="A96:D96"/>
    <mergeCell ref="A101:B101"/>
    <mergeCell ref="C63:D63"/>
    <mergeCell ref="C91:D91"/>
    <mergeCell ref="C92:D92"/>
    <mergeCell ref="C101:D101"/>
    <mergeCell ref="A122:B122"/>
    <mergeCell ref="A123:A124"/>
    <mergeCell ref="A133:B133"/>
    <mergeCell ref="C110:D110"/>
    <mergeCell ref="A112:D112"/>
    <mergeCell ref="C135:D135"/>
    <mergeCell ref="C105:D105"/>
    <mergeCell ref="C106:D106"/>
    <mergeCell ref="C107:D108"/>
    <mergeCell ref="C109:D109"/>
    <mergeCell ref="A125:D125"/>
    <mergeCell ref="A135:B135"/>
    <mergeCell ref="C127:D127"/>
    <mergeCell ref="C128:D128"/>
    <mergeCell ref="C129:D129"/>
    <mergeCell ref="C130:D130"/>
    <mergeCell ref="C131:D131"/>
    <mergeCell ref="C132:D132"/>
    <mergeCell ref="C133:D133"/>
    <mergeCell ref="C134:D134"/>
    <mergeCell ref="A110:B110"/>
    <mergeCell ref="C100:D100"/>
    <mergeCell ref="C49:D49"/>
    <mergeCell ref="C50:D50"/>
    <mergeCell ref="C51:D51"/>
    <mergeCell ref="C54:D54"/>
    <mergeCell ref="C55:D55"/>
    <mergeCell ref="C59:D59"/>
    <mergeCell ref="C60:D60"/>
    <mergeCell ref="C61:D61"/>
    <mergeCell ref="C62:D62"/>
    <mergeCell ref="C94:D94"/>
    <mergeCell ref="C98:D98"/>
    <mergeCell ref="C93:D93"/>
    <mergeCell ref="C53:D53"/>
    <mergeCell ref="C20:D20"/>
    <mergeCell ref="C21:D21"/>
    <mergeCell ref="C52:D52"/>
    <mergeCell ref="C48:D48"/>
    <mergeCell ref="C99:D99"/>
  </mergeCells>
  <pageMargins left="0.51181102362204722" right="0.51181102362204722" top="1.1417322834645669" bottom="0.35433070866141736" header="0.31496062992125984" footer="0.31496062992125984"/>
  <pageSetup paperSize="9" scale="64" fitToHeight="0" orientation="portrait" cellComments="asDisplayed" r:id="rId1"/>
  <headerFooter>
    <oddHeader>&amp;L&amp;G</oddHeader>
    <oddFooter>&amp;C&amp;G</oddFooter>
  </headerFooter>
  <rowBreaks count="2" manualBreakCount="2">
    <brk id="44" max="4" man="1"/>
    <brk id="110" max="4"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86"/>
  <sheetViews>
    <sheetView view="pageBreakPreview" topLeftCell="A114" zoomScale="85" zoomScaleNormal="100" zoomScaleSheetLayoutView="85" workbookViewId="0">
      <selection activeCell="C116" sqref="C116"/>
    </sheetView>
  </sheetViews>
  <sheetFormatPr defaultColWidth="9.109375" defaultRowHeight="15.6"/>
  <cols>
    <col min="1" max="1" width="13.5546875" style="3" customWidth="1"/>
    <col min="2" max="2" width="72.109375" style="3" customWidth="1"/>
    <col min="3" max="3" width="18.109375" style="3" customWidth="1"/>
    <col min="4" max="4" width="22.5546875" style="3" customWidth="1"/>
    <col min="5" max="5" width="17.109375" style="3" customWidth="1"/>
    <col min="6" max="6" width="18.88671875" style="3" customWidth="1"/>
    <col min="7" max="7" width="14.5546875" style="3" customWidth="1"/>
    <col min="8" max="16384" width="9.109375" style="3"/>
  </cols>
  <sheetData>
    <row r="1" spans="1:8" s="1" customFormat="1" ht="102.6" customHeight="1">
      <c r="A1" s="187" t="s">
        <v>139</v>
      </c>
      <c r="B1" s="188"/>
      <c r="C1" s="188"/>
      <c r="D1" s="189"/>
      <c r="E1" s="92"/>
      <c r="F1" s="92"/>
      <c r="G1" s="92"/>
    </row>
    <row r="2" spans="1:8" ht="47.4" customHeight="1">
      <c r="A2" s="180" t="s">
        <v>148</v>
      </c>
      <c r="B2" s="181"/>
      <c r="C2" s="181"/>
      <c r="D2" s="181"/>
      <c r="E2"/>
    </row>
    <row r="3" spans="1:8">
      <c r="A3" s="18" t="s">
        <v>84</v>
      </c>
      <c r="B3" s="182" t="s">
        <v>140</v>
      </c>
      <c r="C3" s="182"/>
      <c r="D3" s="182"/>
      <c r="E3"/>
    </row>
    <row r="4" spans="1:8">
      <c r="A4" s="18" t="s">
        <v>73</v>
      </c>
      <c r="B4" s="182" t="s">
        <v>141</v>
      </c>
      <c r="C4" s="182"/>
      <c r="D4" s="182"/>
      <c r="E4"/>
      <c r="F4"/>
      <c r="G4"/>
      <c r="H4"/>
    </row>
    <row r="5" spans="1:8">
      <c r="A5" s="18" t="s">
        <v>74</v>
      </c>
      <c r="B5" s="56" t="s">
        <v>142</v>
      </c>
      <c r="C5" s="18" t="s">
        <v>85</v>
      </c>
      <c r="D5" s="57"/>
      <c r="E5"/>
      <c r="F5"/>
      <c r="G5"/>
      <c r="H5"/>
    </row>
    <row r="6" spans="1:8">
      <c r="A6" s="179" t="s">
        <v>75</v>
      </c>
      <c r="B6" s="179"/>
      <c r="C6" s="179"/>
      <c r="D6" s="179"/>
      <c r="E6"/>
      <c r="F6"/>
      <c r="G6"/>
      <c r="H6"/>
    </row>
    <row r="7" spans="1:8">
      <c r="A7" s="17" t="s">
        <v>9</v>
      </c>
      <c r="B7" s="20" t="s">
        <v>76</v>
      </c>
      <c r="C7" s="183">
        <v>45048</v>
      </c>
      <c r="D7" s="184"/>
      <c r="E7"/>
      <c r="F7"/>
      <c r="G7"/>
      <c r="H7"/>
    </row>
    <row r="8" spans="1:8">
      <c r="A8" s="17" t="s">
        <v>11</v>
      </c>
      <c r="B8" s="21" t="s">
        <v>77</v>
      </c>
      <c r="C8" s="184" t="s">
        <v>91</v>
      </c>
      <c r="D8" s="184"/>
      <c r="E8"/>
      <c r="F8"/>
      <c r="G8"/>
      <c r="H8"/>
    </row>
    <row r="9" spans="1:8">
      <c r="A9" s="17" t="s">
        <v>12</v>
      </c>
      <c r="B9" s="19" t="s">
        <v>78</v>
      </c>
      <c r="C9" s="184" t="s">
        <v>143</v>
      </c>
      <c r="D9" s="184"/>
      <c r="E9"/>
      <c r="F9"/>
      <c r="G9"/>
      <c r="H9"/>
    </row>
    <row r="10" spans="1:8">
      <c r="A10" s="17" t="s">
        <v>13</v>
      </c>
      <c r="B10" s="21" t="s">
        <v>79</v>
      </c>
      <c r="C10" s="184">
        <v>12</v>
      </c>
      <c r="D10" s="184"/>
      <c r="E10"/>
      <c r="F10"/>
      <c r="G10"/>
      <c r="H10"/>
    </row>
    <row r="11" spans="1:8">
      <c r="A11" s="179" t="s">
        <v>80</v>
      </c>
      <c r="B11" s="179"/>
      <c r="C11" s="179"/>
      <c r="D11" s="179"/>
      <c r="E11"/>
      <c r="F11"/>
      <c r="G11"/>
      <c r="H11"/>
    </row>
    <row r="12" spans="1:8" ht="43.2">
      <c r="A12" s="179" t="s">
        <v>81</v>
      </c>
      <c r="B12" s="179"/>
      <c r="C12" s="42" t="s">
        <v>82</v>
      </c>
      <c r="D12" s="55" t="s">
        <v>83</v>
      </c>
      <c r="E12"/>
      <c r="F12"/>
      <c r="G12"/>
      <c r="H12"/>
    </row>
    <row r="13" spans="1:8" ht="16.5" customHeight="1">
      <c r="A13" s="185" t="s">
        <v>135</v>
      </c>
      <c r="B13" s="185"/>
      <c r="C13" s="43" t="s">
        <v>264</v>
      </c>
      <c r="D13" s="43">
        <v>1</v>
      </c>
      <c r="E13"/>
      <c r="F13"/>
      <c r="G13"/>
      <c r="H13"/>
    </row>
    <row r="14" spans="1:8">
      <c r="A14" s="186"/>
      <c r="B14" s="186"/>
      <c r="C14" s="186"/>
      <c r="D14" s="186"/>
    </row>
    <row r="15" spans="1:8">
      <c r="A15" s="171" t="s">
        <v>101</v>
      </c>
      <c r="B15" s="171"/>
      <c r="C15" s="171"/>
      <c r="D15" s="171"/>
    </row>
    <row r="17" spans="1:6" ht="38.25" customHeight="1">
      <c r="A17" s="10">
        <v>1</v>
      </c>
      <c r="B17" s="10" t="s">
        <v>8</v>
      </c>
      <c r="C17" s="147" t="s">
        <v>97</v>
      </c>
      <c r="D17" s="148"/>
    </row>
    <row r="18" spans="1:6">
      <c r="A18" s="5" t="s">
        <v>9</v>
      </c>
      <c r="B18" s="6" t="s">
        <v>10</v>
      </c>
      <c r="C18" s="145">
        <v>1438.21</v>
      </c>
      <c r="D18" s="146"/>
    </row>
    <row r="19" spans="1:6">
      <c r="A19" s="5" t="s">
        <v>11</v>
      </c>
      <c r="B19" s="6" t="s">
        <v>68</v>
      </c>
      <c r="C19" s="145">
        <f>C18*30/100</f>
        <v>431.46300000000002</v>
      </c>
      <c r="D19" s="146"/>
    </row>
    <row r="20" spans="1:6">
      <c r="A20" s="5" t="s">
        <v>12</v>
      </c>
      <c r="B20" s="6" t="s">
        <v>95</v>
      </c>
      <c r="C20" s="145">
        <f>(C18+C19)/220*0.2*15*7</f>
        <v>178.46878636363638</v>
      </c>
      <c r="D20" s="146"/>
    </row>
    <row r="21" spans="1:6">
      <c r="A21" s="5" t="s">
        <v>13</v>
      </c>
      <c r="B21" s="6" t="s">
        <v>96</v>
      </c>
      <c r="C21" s="145">
        <f>(C18+C19+C20)/220*1.5*15</f>
        <v>209.46904633264467</v>
      </c>
      <c r="D21" s="146"/>
    </row>
    <row r="22" spans="1:6">
      <c r="A22" s="162" t="s">
        <v>0</v>
      </c>
      <c r="B22" s="162"/>
      <c r="C22" s="190">
        <f>SUM(C18:D21)</f>
        <v>2257.6108326962812</v>
      </c>
      <c r="D22" s="191"/>
    </row>
    <row r="24" spans="1:6">
      <c r="A24" s="171" t="s">
        <v>18</v>
      </c>
      <c r="B24" s="171"/>
      <c r="C24" s="171"/>
      <c r="D24" s="171"/>
    </row>
    <row r="25" spans="1:6">
      <c r="A25" s="2"/>
    </row>
    <row r="26" spans="1:6">
      <c r="A26" s="173" t="s">
        <v>19</v>
      </c>
      <c r="B26" s="173"/>
      <c r="C26" s="173"/>
      <c r="D26" s="173"/>
    </row>
    <row r="28" spans="1:6">
      <c r="A28" s="10" t="s">
        <v>20</v>
      </c>
      <c r="B28" s="10" t="s">
        <v>21</v>
      </c>
      <c r="C28" s="10" t="s">
        <v>25</v>
      </c>
      <c r="D28" s="10" t="s">
        <v>97</v>
      </c>
      <c r="F28" s="23"/>
    </row>
    <row r="29" spans="1:6">
      <c r="A29" s="5" t="s">
        <v>9</v>
      </c>
      <c r="B29" s="6" t="s">
        <v>69</v>
      </c>
      <c r="C29" s="7">
        <v>8.3299999999999999E-2</v>
      </c>
      <c r="D29" s="36">
        <f>C29*($C$22)</f>
        <v>188.05898236360022</v>
      </c>
    </row>
    <row r="30" spans="1:6">
      <c r="A30" s="5" t="s">
        <v>11</v>
      </c>
      <c r="B30" s="6" t="s">
        <v>145</v>
      </c>
      <c r="C30" s="7">
        <v>0.1111</v>
      </c>
      <c r="D30" s="36">
        <f>C30*($C$22)</f>
        <v>250.82056351255684</v>
      </c>
      <c r="E30" s="44"/>
    </row>
    <row r="31" spans="1:6">
      <c r="A31" s="162" t="s">
        <v>0</v>
      </c>
      <c r="B31" s="162"/>
      <c r="C31" s="8">
        <f>SUM(C29:C30)</f>
        <v>0.19440000000000002</v>
      </c>
      <c r="D31" s="37">
        <f>SUM(D29:D30)</f>
        <v>438.87954587615707</v>
      </c>
    </row>
    <row r="33" spans="1:6">
      <c r="A33" s="192" t="s">
        <v>22</v>
      </c>
      <c r="B33" s="192"/>
      <c r="C33" s="192"/>
      <c r="D33" s="192"/>
    </row>
    <row r="35" spans="1:6">
      <c r="A35" s="10" t="s">
        <v>23</v>
      </c>
      <c r="B35" s="10" t="s">
        <v>24</v>
      </c>
      <c r="C35" s="10" t="s">
        <v>25</v>
      </c>
      <c r="D35" s="10" t="s">
        <v>97</v>
      </c>
    </row>
    <row r="36" spans="1:6">
      <c r="A36" s="5" t="s">
        <v>9</v>
      </c>
      <c r="B36" s="6" t="s">
        <v>26</v>
      </c>
      <c r="C36" s="70">
        <v>0.2</v>
      </c>
      <c r="D36" s="35">
        <f>C36*($C$22+$D$31)</f>
        <v>539.29807571448771</v>
      </c>
    </row>
    <row r="37" spans="1:6">
      <c r="A37" s="5" t="s">
        <v>11</v>
      </c>
      <c r="B37" s="6" t="s">
        <v>27</v>
      </c>
      <c r="C37" s="70">
        <v>2.5000000000000001E-2</v>
      </c>
      <c r="D37" s="35">
        <f t="shared" ref="D37:D43" si="0">C37*($C$22+$D$31)</f>
        <v>67.412259464310964</v>
      </c>
    </row>
    <row r="38" spans="1:6">
      <c r="A38" s="5" t="s">
        <v>12</v>
      </c>
      <c r="B38" s="6" t="s">
        <v>86</v>
      </c>
      <c r="C38" s="71">
        <v>1.4999999999999999E-2</v>
      </c>
      <c r="D38" s="35">
        <f t="shared" si="0"/>
        <v>40.447355678586568</v>
      </c>
    </row>
    <row r="39" spans="1:6">
      <c r="A39" s="5" t="s">
        <v>13</v>
      </c>
      <c r="B39" s="6" t="s">
        <v>28</v>
      </c>
      <c r="C39" s="70">
        <v>1.4999999999999999E-2</v>
      </c>
      <c r="D39" s="35">
        <f t="shared" si="0"/>
        <v>40.447355678586568</v>
      </c>
    </row>
    <row r="40" spans="1:6">
      <c r="A40" s="5" t="s">
        <v>14</v>
      </c>
      <c r="B40" s="6" t="s">
        <v>29</v>
      </c>
      <c r="C40" s="70">
        <v>0.01</v>
      </c>
      <c r="D40" s="35">
        <f t="shared" si="0"/>
        <v>26.964903785724381</v>
      </c>
    </row>
    <row r="41" spans="1:6">
      <c r="A41" s="5" t="s">
        <v>15</v>
      </c>
      <c r="B41" s="6" t="s">
        <v>1</v>
      </c>
      <c r="C41" s="70">
        <v>6.0000000000000001E-3</v>
      </c>
      <c r="D41" s="35">
        <f t="shared" si="0"/>
        <v>16.178942271434629</v>
      </c>
    </row>
    <row r="42" spans="1:6">
      <c r="A42" s="5" t="s">
        <v>16</v>
      </c>
      <c r="B42" s="6" t="s">
        <v>2</v>
      </c>
      <c r="C42" s="70">
        <v>2E-3</v>
      </c>
      <c r="D42" s="35">
        <f t="shared" si="0"/>
        <v>5.3929807571448762</v>
      </c>
    </row>
    <row r="43" spans="1:6">
      <c r="A43" s="5" t="s">
        <v>30</v>
      </c>
      <c r="B43" s="6" t="s">
        <v>3</v>
      </c>
      <c r="C43" s="70">
        <v>0.08</v>
      </c>
      <c r="D43" s="35">
        <f t="shared" si="0"/>
        <v>215.71923028579505</v>
      </c>
    </row>
    <row r="44" spans="1:6">
      <c r="A44" s="162" t="s">
        <v>31</v>
      </c>
      <c r="B44" s="162"/>
      <c r="C44" s="9">
        <f>SUM(C36:C43)</f>
        <v>0.35300000000000004</v>
      </c>
      <c r="D44" s="45">
        <f>SUM(D36:D43)</f>
        <v>951.86110363607054</v>
      </c>
    </row>
    <row r="46" spans="1:6">
      <c r="A46" s="171" t="s">
        <v>32</v>
      </c>
      <c r="B46" s="171"/>
      <c r="C46" s="171"/>
      <c r="D46" s="171"/>
    </row>
    <row r="48" spans="1:6">
      <c r="A48" s="10" t="s">
        <v>33</v>
      </c>
      <c r="B48" s="10" t="s">
        <v>34</v>
      </c>
      <c r="C48" s="147" t="s">
        <v>97</v>
      </c>
      <c r="D48" s="148"/>
      <c r="F48" s="22"/>
    </row>
    <row r="49" spans="1:6">
      <c r="A49" s="5" t="s">
        <v>9</v>
      </c>
      <c r="B49" s="124" t="s">
        <v>137</v>
      </c>
      <c r="C49" s="149">
        <f>(4.2*2*15)-(C18*6%)</f>
        <v>39.707400000000007</v>
      </c>
      <c r="D49" s="150"/>
      <c r="E49" s="34"/>
      <c r="F49" s="22"/>
    </row>
    <row r="50" spans="1:6">
      <c r="A50" s="5" t="s">
        <v>11</v>
      </c>
      <c r="B50" s="124" t="s">
        <v>268</v>
      </c>
      <c r="C50" s="149">
        <f>(23.12*15)*0.9</f>
        <v>312.12</v>
      </c>
      <c r="D50" s="150"/>
    </row>
    <row r="51" spans="1:6">
      <c r="A51" s="5" t="s">
        <v>12</v>
      </c>
      <c r="B51" s="6" t="s">
        <v>93</v>
      </c>
      <c r="C51" s="145">
        <f>3.8%*C20</f>
        <v>6.7818138818181826</v>
      </c>
      <c r="D51" s="146"/>
    </row>
    <row r="52" spans="1:6">
      <c r="A52" s="5" t="s">
        <v>13</v>
      </c>
      <c r="B52" s="6" t="s">
        <v>263</v>
      </c>
      <c r="C52" s="145">
        <v>5.6</v>
      </c>
      <c r="D52" s="146"/>
    </row>
    <row r="53" spans="1:6">
      <c r="A53" s="5" t="s">
        <v>14</v>
      </c>
      <c r="B53" s="6" t="s">
        <v>146</v>
      </c>
      <c r="C53" s="145">
        <v>97</v>
      </c>
      <c r="D53" s="146"/>
    </row>
    <row r="54" spans="1:6">
      <c r="A54" s="5" t="s">
        <v>15</v>
      </c>
      <c r="B54" s="6" t="s">
        <v>94</v>
      </c>
      <c r="C54" s="145">
        <v>1.5</v>
      </c>
      <c r="D54" s="146"/>
    </row>
    <row r="55" spans="1:6">
      <c r="A55" s="162" t="s">
        <v>0</v>
      </c>
      <c r="B55" s="162"/>
      <c r="C55" s="193">
        <f>SUM(C49:C54)</f>
        <v>462.70921388181824</v>
      </c>
      <c r="D55" s="194"/>
      <c r="E55" s="27"/>
    </row>
    <row r="57" spans="1:6" ht="20.399999999999999">
      <c r="A57" s="172" t="s">
        <v>35</v>
      </c>
      <c r="B57" s="172"/>
      <c r="C57" s="172"/>
      <c r="D57" s="172"/>
    </row>
    <row r="59" spans="1:6">
      <c r="A59" s="10">
        <v>2</v>
      </c>
      <c r="B59" s="10" t="s">
        <v>36</v>
      </c>
      <c r="C59" s="147" t="s">
        <v>97</v>
      </c>
      <c r="D59" s="148"/>
    </row>
    <row r="60" spans="1:6">
      <c r="A60" s="5" t="s">
        <v>20</v>
      </c>
      <c r="B60" s="6" t="s">
        <v>21</v>
      </c>
      <c r="C60" s="145">
        <f>D31</f>
        <v>438.87954587615707</v>
      </c>
      <c r="D60" s="146"/>
    </row>
    <row r="61" spans="1:6">
      <c r="A61" s="5" t="s">
        <v>23</v>
      </c>
      <c r="B61" s="6" t="s">
        <v>24</v>
      </c>
      <c r="C61" s="145">
        <f>D44</f>
        <v>951.86110363607054</v>
      </c>
      <c r="D61" s="146"/>
    </row>
    <row r="62" spans="1:6">
      <c r="A62" s="5" t="s">
        <v>33</v>
      </c>
      <c r="B62" s="6" t="s">
        <v>34</v>
      </c>
      <c r="C62" s="145">
        <f>C55</f>
        <v>462.70921388181824</v>
      </c>
      <c r="D62" s="146"/>
    </row>
    <row r="63" spans="1:6">
      <c r="A63" s="162" t="s">
        <v>0</v>
      </c>
      <c r="B63" s="162"/>
      <c r="C63" s="155">
        <f>SUM(C60:C62)</f>
        <v>1853.4498633940459</v>
      </c>
      <c r="D63" s="156"/>
    </row>
    <row r="64" spans="1:6">
      <c r="A64" s="1"/>
    </row>
    <row r="65" spans="1:5">
      <c r="A65" s="171" t="s">
        <v>37</v>
      </c>
      <c r="B65" s="171"/>
      <c r="C65" s="171"/>
      <c r="D65" s="171"/>
    </row>
    <row r="67" spans="1:5">
      <c r="A67" s="12">
        <v>3</v>
      </c>
      <c r="B67" s="12" t="s">
        <v>38</v>
      </c>
      <c r="C67" s="12" t="s">
        <v>70</v>
      </c>
      <c r="D67" s="12" t="str">
        <f>C59</f>
        <v>VALOR</v>
      </c>
    </row>
    <row r="68" spans="1:5">
      <c r="A68" s="5" t="s">
        <v>9</v>
      </c>
      <c r="B68" s="11" t="s">
        <v>39</v>
      </c>
      <c r="C68" s="70">
        <f>SUM((1/12)*0.05)</f>
        <v>4.1666666666666666E-3</v>
      </c>
      <c r="D68" s="35">
        <f>C68*($C$22+$C$94)</f>
        <v>10.368761873652428</v>
      </c>
    </row>
    <row r="69" spans="1:5">
      <c r="A69" s="5" t="s">
        <v>11</v>
      </c>
      <c r="B69" s="11" t="s">
        <v>40</v>
      </c>
      <c r="C69" s="70">
        <f>0.42%*8%</f>
        <v>3.3599999999999998E-4</v>
      </c>
      <c r="D69" s="35">
        <f>C69*($C$22+$C$94)</f>
        <v>0.83613695749133177</v>
      </c>
    </row>
    <row r="70" spans="1:5">
      <c r="A70" s="5" t="s">
        <v>12</v>
      </c>
      <c r="B70" s="11" t="s">
        <v>41</v>
      </c>
      <c r="C70" s="70">
        <v>1.1999999999999999E-3</v>
      </c>
      <c r="D70" s="35">
        <f>C70*($C$22)</f>
        <v>2.7091329992355373</v>
      </c>
    </row>
    <row r="71" spans="1:5">
      <c r="A71" s="5" t="s">
        <v>13</v>
      </c>
      <c r="B71" s="11" t="s">
        <v>42</v>
      </c>
      <c r="C71" s="70">
        <v>1.9400000000000001E-2</v>
      </c>
      <c r="D71" s="35">
        <f>C71*($C$22)</f>
        <v>43.79765015430786</v>
      </c>
      <c r="E71" s="25"/>
    </row>
    <row r="72" spans="1:5">
      <c r="A72" s="5" t="s">
        <v>14</v>
      </c>
      <c r="B72" s="11" t="s">
        <v>43</v>
      </c>
      <c r="C72" s="70">
        <f>C71*C44</f>
        <v>6.8482000000000013E-3</v>
      </c>
      <c r="D72" s="35">
        <f>C72*($C$22+$C$94)</f>
        <v>17.041765215155177</v>
      </c>
      <c r="E72" s="26"/>
    </row>
    <row r="73" spans="1:5">
      <c r="A73" s="5" t="s">
        <v>15</v>
      </c>
      <c r="B73" s="11" t="s">
        <v>44</v>
      </c>
      <c r="C73" s="70">
        <v>3.8800000000000001E-2</v>
      </c>
      <c r="D73" s="35">
        <f>C73*($C$22)</f>
        <v>87.59530030861572</v>
      </c>
    </row>
    <row r="74" spans="1:5">
      <c r="A74" s="162" t="s">
        <v>0</v>
      </c>
      <c r="B74" s="162"/>
      <c r="C74" s="9">
        <f>SUM(C68:C73)</f>
        <v>7.0750866666666662E-2</v>
      </c>
      <c r="D74" s="37">
        <f>SUM(D68:D73)</f>
        <v>162.34874750845808</v>
      </c>
    </row>
    <row r="76" spans="1:5">
      <c r="A76" s="171" t="s">
        <v>45</v>
      </c>
      <c r="B76" s="171"/>
      <c r="C76" s="171"/>
      <c r="D76" s="171"/>
    </row>
    <row r="78" spans="1:5">
      <c r="A78" s="173" t="s">
        <v>46</v>
      </c>
      <c r="B78" s="173"/>
      <c r="C78" s="173"/>
      <c r="D78" s="173"/>
    </row>
    <row r="79" spans="1:5">
      <c r="A79" s="2"/>
    </row>
    <row r="80" spans="1:5">
      <c r="A80" s="12" t="s">
        <v>47</v>
      </c>
      <c r="B80" s="12" t="s">
        <v>48</v>
      </c>
      <c r="C80" s="12" t="s">
        <v>71</v>
      </c>
      <c r="D80" s="12" t="str">
        <f>D67</f>
        <v>VALOR</v>
      </c>
    </row>
    <row r="81" spans="1:5">
      <c r="A81" s="5" t="s">
        <v>9</v>
      </c>
      <c r="B81" s="6" t="s">
        <v>90</v>
      </c>
      <c r="C81" s="70">
        <f>11.11%/12</f>
        <v>9.258333333333332E-3</v>
      </c>
      <c r="D81" s="36">
        <f>C81*($C$22)</f>
        <v>20.901713626046401</v>
      </c>
    </row>
    <row r="82" spans="1:5">
      <c r="A82" s="5" t="s">
        <v>11</v>
      </c>
      <c r="B82" s="6" t="s">
        <v>48</v>
      </c>
      <c r="C82" s="70">
        <v>2.8E-3</v>
      </c>
      <c r="D82" s="36">
        <f t="shared" ref="D82:D85" si="1">C82*($C$22)</f>
        <v>6.3213103315495873</v>
      </c>
    </row>
    <row r="83" spans="1:5">
      <c r="A83" s="5" t="s">
        <v>12</v>
      </c>
      <c r="B83" s="6" t="s">
        <v>49</v>
      </c>
      <c r="C83" s="72">
        <v>2.0000000000000001E-4</v>
      </c>
      <c r="D83" s="36">
        <f t="shared" si="1"/>
        <v>0.45152216653925625</v>
      </c>
    </row>
    <row r="84" spans="1:5">
      <c r="A84" s="5" t="s">
        <v>13</v>
      </c>
      <c r="B84" s="6" t="s">
        <v>50</v>
      </c>
      <c r="C84" s="72">
        <v>8.0000000000000004E-4</v>
      </c>
      <c r="D84" s="36">
        <f t="shared" si="1"/>
        <v>1.806088666157025</v>
      </c>
    </row>
    <row r="85" spans="1:5">
      <c r="A85" s="5" t="s">
        <v>14</v>
      </c>
      <c r="B85" s="6" t="s">
        <v>106</v>
      </c>
      <c r="C85" s="80">
        <v>2.9999999999999997E-4</v>
      </c>
      <c r="D85" s="36">
        <f t="shared" si="1"/>
        <v>0.67728324980888432</v>
      </c>
      <c r="E85" s="27"/>
    </row>
    <row r="86" spans="1:5">
      <c r="A86" s="5" t="s">
        <v>15</v>
      </c>
      <c r="B86" s="6" t="s">
        <v>87</v>
      </c>
      <c r="C86" s="80">
        <v>0</v>
      </c>
      <c r="D86" s="36">
        <f>C86*($C$22)</f>
        <v>0</v>
      </c>
      <c r="E86" s="28"/>
    </row>
    <row r="87" spans="1:5">
      <c r="A87" s="174" t="s">
        <v>31</v>
      </c>
      <c r="B87" s="174"/>
      <c r="C87" s="14">
        <f>SUM(C81:C86)</f>
        <v>1.3358333333333333E-2</v>
      </c>
      <c r="D87" s="38">
        <f>SUM(D81:D86)</f>
        <v>30.157918040101151</v>
      </c>
      <c r="E87" s="30"/>
    </row>
    <row r="89" spans="1:5">
      <c r="A89" s="173" t="s">
        <v>51</v>
      </c>
      <c r="B89" s="173"/>
      <c r="C89" s="173"/>
      <c r="D89" s="173"/>
    </row>
    <row r="90" spans="1:5">
      <c r="A90" s="2"/>
    </row>
    <row r="91" spans="1:5">
      <c r="A91" s="12" t="s">
        <v>52</v>
      </c>
      <c r="B91" s="12" t="s">
        <v>53</v>
      </c>
      <c r="C91" s="175" t="str">
        <f>D80</f>
        <v>VALOR</v>
      </c>
      <c r="D91" s="176"/>
    </row>
    <row r="92" spans="1:5">
      <c r="A92" s="5" t="s">
        <v>9</v>
      </c>
      <c r="B92" s="6" t="s">
        <v>67</v>
      </c>
      <c r="C92" s="145">
        <f>(C22)/220*1.5*15</f>
        <v>230.89201698030146</v>
      </c>
      <c r="D92" s="146"/>
    </row>
    <row r="93" spans="1:5" hidden="1">
      <c r="A93" s="5" t="s">
        <v>11</v>
      </c>
      <c r="B93" s="6" t="s">
        <v>146</v>
      </c>
      <c r="C93" s="145">
        <v>0</v>
      </c>
      <c r="D93" s="146"/>
    </row>
    <row r="94" spans="1:5">
      <c r="A94" s="174" t="s">
        <v>0</v>
      </c>
      <c r="B94" s="174"/>
      <c r="C94" s="153">
        <f>SUM(C92:D93)</f>
        <v>230.89201698030146</v>
      </c>
      <c r="D94" s="154"/>
    </row>
    <row r="96" spans="1:5" ht="20.399999999999999">
      <c r="A96" s="172" t="s">
        <v>54</v>
      </c>
      <c r="B96" s="172"/>
      <c r="C96" s="172"/>
      <c r="D96" s="172"/>
    </row>
    <row r="97" spans="1:15">
      <c r="A97" s="2"/>
    </row>
    <row r="98" spans="1:15">
      <c r="A98" s="10">
        <v>4</v>
      </c>
      <c r="B98" s="10" t="s">
        <v>55</v>
      </c>
      <c r="C98" s="147" t="str">
        <f>C91</f>
        <v>VALOR</v>
      </c>
      <c r="D98" s="148"/>
    </row>
    <row r="99" spans="1:15">
      <c r="A99" s="5" t="s">
        <v>47</v>
      </c>
      <c r="B99" s="6" t="s">
        <v>48</v>
      </c>
      <c r="C99" s="145">
        <f>D87</f>
        <v>30.157918040101151</v>
      </c>
      <c r="D99" s="146"/>
    </row>
    <row r="100" spans="1:15">
      <c r="A100" s="5" t="s">
        <v>52</v>
      </c>
      <c r="B100" s="6" t="s">
        <v>53</v>
      </c>
      <c r="C100" s="145">
        <f>C94</f>
        <v>230.89201698030146</v>
      </c>
      <c r="D100" s="146"/>
    </row>
    <row r="101" spans="1:15">
      <c r="A101" s="162" t="s">
        <v>0</v>
      </c>
      <c r="B101" s="162"/>
      <c r="C101" s="155">
        <f>SUM(C99:C100)</f>
        <v>261.04993502040259</v>
      </c>
      <c r="D101" s="156"/>
    </row>
    <row r="102" spans="1:15">
      <c r="C102" s="40"/>
    </row>
    <row r="103" spans="1:15">
      <c r="A103" s="171" t="s">
        <v>56</v>
      </c>
      <c r="B103" s="171"/>
      <c r="C103" s="171"/>
      <c r="D103" s="171"/>
    </row>
    <row r="105" spans="1:15">
      <c r="A105" s="4">
        <v>5</v>
      </c>
      <c r="B105" s="15" t="s">
        <v>4</v>
      </c>
      <c r="C105" s="147" t="str">
        <f>C98</f>
        <v>VALOR</v>
      </c>
      <c r="D105" s="148"/>
    </row>
    <row r="106" spans="1:15">
      <c r="A106" s="5" t="s">
        <v>9</v>
      </c>
      <c r="B106" s="6" t="s">
        <v>57</v>
      </c>
      <c r="C106" s="145">
        <f>Uniformes!H14</f>
        <v>13.416666666666668</v>
      </c>
      <c r="D106" s="146"/>
      <c r="O106" s="39"/>
    </row>
    <row r="107" spans="1:15">
      <c r="A107" s="5" t="s">
        <v>11</v>
      </c>
      <c r="B107" s="6" t="s">
        <v>58</v>
      </c>
      <c r="C107" s="157">
        <f>Uniformes!H32</f>
        <v>4.1333333333333337</v>
      </c>
      <c r="D107" s="158"/>
    </row>
    <row r="108" spans="1:15">
      <c r="A108" s="5" t="s">
        <v>12</v>
      </c>
      <c r="B108" s="6" t="s">
        <v>59</v>
      </c>
      <c r="C108" s="159"/>
      <c r="D108" s="160"/>
    </row>
    <row r="109" spans="1:15">
      <c r="A109" s="5" t="s">
        <v>13</v>
      </c>
      <c r="B109" s="6" t="s">
        <v>17</v>
      </c>
      <c r="C109" s="145"/>
      <c r="D109" s="146"/>
    </row>
    <row r="110" spans="1:15">
      <c r="A110" s="162" t="s">
        <v>31</v>
      </c>
      <c r="B110" s="162"/>
      <c r="C110" s="155">
        <f>SUM(C106:C109)</f>
        <v>17.55</v>
      </c>
      <c r="D110" s="156"/>
    </row>
    <row r="112" spans="1:15">
      <c r="A112" s="161" t="s">
        <v>60</v>
      </c>
      <c r="B112" s="161"/>
      <c r="C112" s="161"/>
      <c r="D112" s="161"/>
    </row>
    <row r="114" spans="1:6">
      <c r="A114" s="41">
        <v>6</v>
      </c>
      <c r="B114" s="16" t="s">
        <v>5</v>
      </c>
      <c r="C114" s="41" t="s">
        <v>25</v>
      </c>
      <c r="D114" s="10" t="s">
        <v>97</v>
      </c>
    </row>
    <row r="115" spans="1:6">
      <c r="A115" s="5" t="s">
        <v>9</v>
      </c>
      <c r="B115" s="6" t="s">
        <v>88</v>
      </c>
      <c r="C115" s="13">
        <v>8.9999999999999993E-3</v>
      </c>
      <c r="D115" s="35">
        <f>C115*C133</f>
        <v>40.96808440757269</v>
      </c>
      <c r="E115" s="29"/>
    </row>
    <row r="116" spans="1:6">
      <c r="A116" s="5" t="s">
        <v>11</v>
      </c>
      <c r="B116" s="6" t="s">
        <v>89</v>
      </c>
      <c r="C116" s="13">
        <v>8.9999999999999993E-3</v>
      </c>
      <c r="D116" s="35">
        <f>C116*(D115+C133)</f>
        <v>41.336797167240846</v>
      </c>
      <c r="E116" s="29"/>
      <c r="F116" s="46"/>
    </row>
    <row r="117" spans="1:6" ht="31.2">
      <c r="A117" s="4" t="s">
        <v>12</v>
      </c>
      <c r="B117" s="15" t="s">
        <v>267</v>
      </c>
      <c r="C117" s="73">
        <v>8.6499999999999994E-2</v>
      </c>
      <c r="D117" s="75">
        <f>D118+D119+D120+D121</f>
        <v>438.8266923993225</v>
      </c>
      <c r="E117" s="33"/>
      <c r="F117" s="26">
        <f>C115+'A SLZ - DIU'!C115</f>
        <v>1.15E-2</v>
      </c>
    </row>
    <row r="118" spans="1:6" ht="31.2">
      <c r="A118" s="5"/>
      <c r="B118" s="6" t="s">
        <v>98</v>
      </c>
      <c r="C118" s="74">
        <v>6.4999999999999997E-3</v>
      </c>
      <c r="D118" s="36">
        <f>((D115+D116+C133)/0.9135)*C118</f>
        <v>32.975416191856603</v>
      </c>
      <c r="E118" s="47"/>
      <c r="F118" s="125">
        <f>F117/2</f>
        <v>5.7499999999999999E-3</v>
      </c>
    </row>
    <row r="119" spans="1:6" ht="31.2">
      <c r="A119" s="5"/>
      <c r="B119" s="6" t="s">
        <v>99</v>
      </c>
      <c r="C119" s="74">
        <v>0.03</v>
      </c>
      <c r="D119" s="36">
        <f>((D115+D116+C133)/0.9135)*C119</f>
        <v>152.19422857779972</v>
      </c>
      <c r="E119" s="47"/>
    </row>
    <row r="120" spans="1:6">
      <c r="A120" s="5"/>
      <c r="B120" s="6" t="s">
        <v>61</v>
      </c>
      <c r="C120" s="74"/>
      <c r="D120" s="51"/>
      <c r="E120" s="48"/>
    </row>
    <row r="121" spans="1:6" ht="31.2">
      <c r="A121" s="5"/>
      <c r="B121" s="6" t="s">
        <v>100</v>
      </c>
      <c r="C121" s="74">
        <v>0.05</v>
      </c>
      <c r="D121" s="36">
        <f>((D115+D116+C133)/0.9135)*C121</f>
        <v>253.65704762966621</v>
      </c>
      <c r="E121" s="48"/>
    </row>
    <row r="122" spans="1:6">
      <c r="A122" s="169" t="s">
        <v>31</v>
      </c>
      <c r="B122" s="169"/>
      <c r="C122" s="8">
        <f>C115+C116+C117</f>
        <v>0.1045</v>
      </c>
      <c r="D122" s="52">
        <f>D115+D116+D117</f>
        <v>521.13157397413602</v>
      </c>
      <c r="E122" s="31"/>
    </row>
    <row r="123" spans="1:6">
      <c r="A123" s="170" t="s">
        <v>72</v>
      </c>
      <c r="B123" s="53">
        <f>(1-(0.65%+3%+5%)/1)</f>
        <v>0.91349999999999998</v>
      </c>
      <c r="E123" s="32"/>
    </row>
    <row r="124" spans="1:6">
      <c r="A124" s="170"/>
      <c r="B124" s="54"/>
    </row>
    <row r="125" spans="1:6">
      <c r="A125" s="161" t="s">
        <v>62</v>
      </c>
      <c r="B125" s="161"/>
      <c r="C125" s="161"/>
      <c r="D125" s="161"/>
      <c r="E125" s="23"/>
      <c r="F125" s="22"/>
    </row>
    <row r="127" spans="1:6" ht="38.25" customHeight="1">
      <c r="A127" s="10"/>
      <c r="B127" s="10" t="s">
        <v>63</v>
      </c>
      <c r="C127" s="147" t="str">
        <f>D114</f>
        <v>VALOR</v>
      </c>
      <c r="D127" s="148"/>
    </row>
    <row r="128" spans="1:6">
      <c r="A128" s="4" t="s">
        <v>9</v>
      </c>
      <c r="B128" s="6" t="s">
        <v>7</v>
      </c>
      <c r="C128" s="163">
        <f>C22</f>
        <v>2257.6108326962812</v>
      </c>
      <c r="D128" s="164"/>
    </row>
    <row r="129" spans="1:6">
      <c r="A129" s="4" t="s">
        <v>11</v>
      </c>
      <c r="B129" s="6" t="s">
        <v>18</v>
      </c>
      <c r="C129" s="163">
        <f>C63</f>
        <v>1853.4498633940459</v>
      </c>
      <c r="D129" s="164"/>
    </row>
    <row r="130" spans="1:6">
      <c r="A130" s="4" t="s">
        <v>12</v>
      </c>
      <c r="B130" s="6" t="s">
        <v>37</v>
      </c>
      <c r="C130" s="163">
        <f>D74</f>
        <v>162.34874750845808</v>
      </c>
      <c r="D130" s="164"/>
    </row>
    <row r="131" spans="1:6">
      <c r="A131" s="4" t="s">
        <v>13</v>
      </c>
      <c r="B131" s="6" t="s">
        <v>45</v>
      </c>
      <c r="C131" s="163">
        <f>C101</f>
        <v>261.04993502040259</v>
      </c>
      <c r="D131" s="164"/>
    </row>
    <row r="132" spans="1:6">
      <c r="A132" s="4" t="s">
        <v>14</v>
      </c>
      <c r="B132" s="6" t="s">
        <v>56</v>
      </c>
      <c r="C132" s="163">
        <f>C110</f>
        <v>17.55</v>
      </c>
      <c r="D132" s="164"/>
    </row>
    <row r="133" spans="1:6" ht="16.2">
      <c r="A133" s="162" t="s">
        <v>64</v>
      </c>
      <c r="B133" s="162"/>
      <c r="C133" s="165">
        <f>SUM(C128:C132)</f>
        <v>4552.0093786191883</v>
      </c>
      <c r="D133" s="166"/>
      <c r="E133" s="23"/>
      <c r="F133" s="23"/>
    </row>
    <row r="134" spans="1:6">
      <c r="A134" s="4" t="s">
        <v>15</v>
      </c>
      <c r="B134" s="6" t="s">
        <v>65</v>
      </c>
      <c r="C134" s="167">
        <f>D115+D116+D117</f>
        <v>521.13157397413602</v>
      </c>
      <c r="D134" s="168"/>
    </row>
    <row r="135" spans="1:6">
      <c r="A135" s="162" t="s">
        <v>66</v>
      </c>
      <c r="B135" s="162"/>
      <c r="C135" s="155">
        <f>ROUND((C133+C134),2)</f>
        <v>5073.1400000000003</v>
      </c>
      <c r="D135" s="156"/>
      <c r="F135" s="3">
        <v>5073.26</v>
      </c>
    </row>
    <row r="136" spans="1:6">
      <c r="A136"/>
      <c r="B136"/>
      <c r="C136" s="24"/>
      <c r="D136"/>
      <c r="E136"/>
      <c r="F136" s="93">
        <f>C135-F135</f>
        <v>-0.11999999999989086</v>
      </c>
    </row>
    <row r="137" spans="1:6">
      <c r="D137" s="49"/>
    </row>
    <row r="138" spans="1:6">
      <c r="D138" s="50"/>
    </row>
    <row r="185" ht="1.8" customHeight="1"/>
    <row r="186" ht="7.2" hidden="1" customHeight="1"/>
  </sheetData>
  <mergeCells count="82">
    <mergeCell ref="A13:B13"/>
    <mergeCell ref="A2:D2"/>
    <mergeCell ref="B3:D3"/>
    <mergeCell ref="B4:D4"/>
    <mergeCell ref="A6:D6"/>
    <mergeCell ref="C7:D7"/>
    <mergeCell ref="C8:D8"/>
    <mergeCell ref="C9:D9"/>
    <mergeCell ref="C10:D10"/>
    <mergeCell ref="A11:D11"/>
    <mergeCell ref="A12:B12"/>
    <mergeCell ref="A24:D24"/>
    <mergeCell ref="A26:D26"/>
    <mergeCell ref="C17:D17"/>
    <mergeCell ref="C18:D18"/>
    <mergeCell ref="C19:D19"/>
    <mergeCell ref="C20:D20"/>
    <mergeCell ref="C21:D21"/>
    <mergeCell ref="C22:D22"/>
    <mergeCell ref="A112:D112"/>
    <mergeCell ref="C132:D132"/>
    <mergeCell ref="A94:B94"/>
    <mergeCell ref="A96:D96"/>
    <mergeCell ref="A125:D125"/>
    <mergeCell ref="A122:B122"/>
    <mergeCell ref="A123:A124"/>
    <mergeCell ref="C98:D98"/>
    <mergeCell ref="C99:D99"/>
    <mergeCell ref="C100:D100"/>
    <mergeCell ref="C105:D105"/>
    <mergeCell ref="C106:D106"/>
    <mergeCell ref="C107:D108"/>
    <mergeCell ref="A103:D103"/>
    <mergeCell ref="C94:D94"/>
    <mergeCell ref="A76:D76"/>
    <mergeCell ref="A133:B133"/>
    <mergeCell ref="A135:B135"/>
    <mergeCell ref="C127:D127"/>
    <mergeCell ref="A101:B101"/>
    <mergeCell ref="A110:B110"/>
    <mergeCell ref="C101:D101"/>
    <mergeCell ref="C109:D109"/>
    <mergeCell ref="C110:D110"/>
    <mergeCell ref="C133:D133"/>
    <mergeCell ref="C134:D134"/>
    <mergeCell ref="C135:D135"/>
    <mergeCell ref="C128:D128"/>
    <mergeCell ref="C129:D129"/>
    <mergeCell ref="C130:D130"/>
    <mergeCell ref="C131:D131"/>
    <mergeCell ref="C91:D91"/>
    <mergeCell ref="C92:D92"/>
    <mergeCell ref="A63:B63"/>
    <mergeCell ref="C93:D93"/>
    <mergeCell ref="C53:D53"/>
    <mergeCell ref="A57:D57"/>
    <mergeCell ref="A78:D78"/>
    <mergeCell ref="A87:B87"/>
    <mergeCell ref="A89:D89"/>
    <mergeCell ref="C61:D61"/>
    <mergeCell ref="C62:D62"/>
    <mergeCell ref="C63:D63"/>
    <mergeCell ref="C59:D59"/>
    <mergeCell ref="C60:D60"/>
    <mergeCell ref="A65:D65"/>
    <mergeCell ref="A74:B74"/>
    <mergeCell ref="A1:D1"/>
    <mergeCell ref="C52:D52"/>
    <mergeCell ref="C51:D51"/>
    <mergeCell ref="C54:D54"/>
    <mergeCell ref="A55:B55"/>
    <mergeCell ref="C48:D48"/>
    <mergeCell ref="C49:D49"/>
    <mergeCell ref="C50:D50"/>
    <mergeCell ref="A31:B31"/>
    <mergeCell ref="A44:B44"/>
    <mergeCell ref="A46:D46"/>
    <mergeCell ref="A33:D33"/>
    <mergeCell ref="C55:D55"/>
    <mergeCell ref="A14:D14"/>
    <mergeCell ref="A15:D15"/>
    <mergeCell ref="A22:B22"/>
  </mergeCells>
  <pageMargins left="0.51181102362204722" right="0.51181102362204722" top="1.1417322834645669" bottom="0.35433070866141736" header="0.31496062992125984" footer="0.31496062992125984"/>
  <pageSetup paperSize="9" scale="52" fitToHeight="0" orientation="portrait" r:id="rId1"/>
  <headerFooter>
    <oddHeader>&amp;L&amp;G</oddHeader>
    <oddFooter>&amp;C&amp;G</oddFooter>
  </headerFooter>
  <rowBreaks count="2" manualBreakCount="2">
    <brk id="44" max="4" man="1"/>
    <brk id="110" max="4"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BA63A-B20E-42A8-903B-89D518B04E5E}">
  <sheetPr>
    <tabColor rgb="FF00B050"/>
    <pageSetUpPr fitToPage="1"/>
  </sheetPr>
  <dimension ref="A1:O186"/>
  <sheetViews>
    <sheetView showGridLines="0" view="pageBreakPreview" topLeftCell="A111" zoomScale="85" zoomScaleNormal="100" zoomScaleSheetLayoutView="85" workbookViewId="0">
      <selection activeCell="C115" sqref="C115:C116"/>
    </sheetView>
  </sheetViews>
  <sheetFormatPr defaultColWidth="9.109375" defaultRowHeight="15.6"/>
  <cols>
    <col min="1" max="1" width="13.5546875" style="3" customWidth="1"/>
    <col min="2" max="2" width="72.109375" style="3" customWidth="1"/>
    <col min="3" max="3" width="18.109375" style="3" customWidth="1"/>
    <col min="4" max="4" width="22.5546875" style="3" customWidth="1"/>
    <col min="5" max="5" width="17.109375" style="3" customWidth="1"/>
    <col min="6" max="6" width="15.109375" style="3" customWidth="1"/>
    <col min="7" max="7" width="17.88671875" style="3" customWidth="1"/>
    <col min="8" max="16384" width="9.109375" style="3"/>
  </cols>
  <sheetData>
    <row r="1" spans="1:8" s="1" customFormat="1" ht="102.6" customHeight="1">
      <c r="A1" s="187" t="s">
        <v>139</v>
      </c>
      <c r="B1" s="188"/>
      <c r="C1" s="188"/>
      <c r="D1" s="189"/>
      <c r="E1" s="92"/>
      <c r="F1" s="92"/>
      <c r="G1" s="92"/>
    </row>
    <row r="2" spans="1:8" ht="47.4" customHeight="1">
      <c r="A2" s="180" t="s">
        <v>149</v>
      </c>
      <c r="B2" s="181"/>
      <c r="C2" s="181"/>
      <c r="D2" s="181"/>
      <c r="E2"/>
    </row>
    <row r="3" spans="1:8">
      <c r="A3" s="18" t="s">
        <v>84</v>
      </c>
      <c r="B3" s="182" t="s">
        <v>140</v>
      </c>
      <c r="C3" s="182"/>
      <c r="D3" s="182"/>
      <c r="E3"/>
    </row>
    <row r="4" spans="1:8">
      <c r="A4" s="18" t="s">
        <v>73</v>
      </c>
      <c r="B4" s="182" t="s">
        <v>141</v>
      </c>
      <c r="C4" s="182"/>
      <c r="D4" s="182"/>
      <c r="E4"/>
      <c r="F4"/>
      <c r="G4"/>
      <c r="H4"/>
    </row>
    <row r="5" spans="1:8">
      <c r="A5" s="18" t="s">
        <v>74</v>
      </c>
      <c r="B5" s="89" t="s">
        <v>142</v>
      </c>
      <c r="C5" s="18" t="s">
        <v>85</v>
      </c>
      <c r="D5" s="57"/>
      <c r="E5"/>
      <c r="F5"/>
      <c r="G5"/>
      <c r="H5"/>
    </row>
    <row r="6" spans="1:8">
      <c r="A6" s="179" t="s">
        <v>75</v>
      </c>
      <c r="B6" s="179"/>
      <c r="C6" s="179"/>
      <c r="D6" s="179"/>
      <c r="E6"/>
      <c r="F6"/>
      <c r="G6"/>
      <c r="H6"/>
    </row>
    <row r="7" spans="1:8" ht="18" customHeight="1">
      <c r="A7" s="17" t="s">
        <v>9</v>
      </c>
      <c r="B7" s="20" t="s">
        <v>76</v>
      </c>
      <c r="C7" s="183">
        <v>45048</v>
      </c>
      <c r="D7" s="184"/>
      <c r="E7"/>
      <c r="F7"/>
      <c r="G7"/>
      <c r="H7"/>
    </row>
    <row r="8" spans="1:8" ht="18" customHeight="1">
      <c r="A8" s="17" t="s">
        <v>11</v>
      </c>
      <c r="B8" s="21" t="s">
        <v>77</v>
      </c>
      <c r="C8" s="184" t="s">
        <v>150</v>
      </c>
      <c r="D8" s="184"/>
      <c r="E8"/>
      <c r="F8"/>
      <c r="G8"/>
      <c r="H8"/>
    </row>
    <row r="9" spans="1:8" ht="18" customHeight="1">
      <c r="A9" s="17" t="s">
        <v>12</v>
      </c>
      <c r="B9" s="19" t="s">
        <v>78</v>
      </c>
      <c r="C9" s="184" t="s">
        <v>143</v>
      </c>
      <c r="D9" s="184"/>
      <c r="E9"/>
      <c r="F9"/>
      <c r="G9"/>
      <c r="H9"/>
    </row>
    <row r="10" spans="1:8" ht="18" customHeight="1">
      <c r="A10" s="17" t="s">
        <v>13</v>
      </c>
      <c r="B10" s="21" t="s">
        <v>79</v>
      </c>
      <c r="C10" s="184">
        <v>12</v>
      </c>
      <c r="D10" s="184"/>
      <c r="E10"/>
      <c r="F10"/>
      <c r="G10"/>
      <c r="H10"/>
    </row>
    <row r="11" spans="1:8">
      <c r="A11" s="179" t="s">
        <v>80</v>
      </c>
      <c r="B11" s="179"/>
      <c r="C11" s="179"/>
      <c r="D11" s="179"/>
      <c r="E11"/>
      <c r="F11"/>
      <c r="G11"/>
      <c r="H11"/>
    </row>
    <row r="12" spans="1:8" ht="48.6" customHeight="1">
      <c r="A12" s="179" t="s">
        <v>81</v>
      </c>
      <c r="B12" s="179"/>
      <c r="C12" s="42" t="s">
        <v>82</v>
      </c>
      <c r="D12" s="55" t="s">
        <v>83</v>
      </c>
      <c r="E12"/>
      <c r="F12"/>
      <c r="G12"/>
      <c r="H12"/>
    </row>
    <row r="13" spans="1:8" ht="30.75" customHeight="1">
      <c r="A13" s="185" t="s">
        <v>136</v>
      </c>
      <c r="B13" s="185"/>
      <c r="C13" s="43" t="s">
        <v>92</v>
      </c>
      <c r="D13" s="43">
        <v>1</v>
      </c>
      <c r="E13"/>
      <c r="F13"/>
      <c r="G13"/>
      <c r="H13"/>
    </row>
    <row r="14" spans="1:8">
      <c r="A14" s="186"/>
      <c r="B14" s="186"/>
      <c r="C14" s="186"/>
      <c r="D14" s="186"/>
    </row>
    <row r="15" spans="1:8">
      <c r="A15" s="171" t="s">
        <v>101</v>
      </c>
      <c r="B15" s="171"/>
      <c r="C15" s="171"/>
      <c r="D15" s="171"/>
    </row>
    <row r="16" spans="1:8" ht="3.75" customHeight="1"/>
    <row r="17" spans="1:6" ht="38.25" customHeight="1">
      <c r="A17" s="10">
        <v>1</v>
      </c>
      <c r="B17" s="10" t="s">
        <v>8</v>
      </c>
      <c r="C17" s="147" t="s">
        <v>97</v>
      </c>
      <c r="D17" s="148"/>
    </row>
    <row r="18" spans="1:6">
      <c r="A18" s="5" t="s">
        <v>9</v>
      </c>
      <c r="B18" s="6" t="s">
        <v>10</v>
      </c>
      <c r="C18" s="145">
        <v>1438.21</v>
      </c>
      <c r="D18" s="146"/>
    </row>
    <row r="19" spans="1:6">
      <c r="A19" s="5" t="s">
        <v>11</v>
      </c>
      <c r="B19" s="6" t="s">
        <v>132</v>
      </c>
      <c r="C19" s="145">
        <f>C18*30/100</f>
        <v>431.46300000000002</v>
      </c>
      <c r="D19" s="146"/>
    </row>
    <row r="20" spans="1:6">
      <c r="A20" s="5" t="s">
        <v>12</v>
      </c>
      <c r="B20" s="6" t="s">
        <v>95</v>
      </c>
      <c r="C20" s="145">
        <f>(C18+C19)/220*0.2*15*7*0</f>
        <v>0</v>
      </c>
      <c r="D20" s="146"/>
    </row>
    <row r="21" spans="1:6">
      <c r="A21" s="5" t="s">
        <v>13</v>
      </c>
      <c r="B21" s="6" t="s">
        <v>96</v>
      </c>
      <c r="C21" s="145">
        <f>(C18+C19+C20)/220*1.5*15*0</f>
        <v>0</v>
      </c>
      <c r="D21" s="146"/>
    </row>
    <row r="22" spans="1:6">
      <c r="A22" s="162" t="s">
        <v>0</v>
      </c>
      <c r="B22" s="162"/>
      <c r="C22" s="190">
        <f>SUM(C18:D21)</f>
        <v>1869.673</v>
      </c>
      <c r="D22" s="191"/>
    </row>
    <row r="24" spans="1:6" ht="32.25" customHeight="1">
      <c r="A24" s="171" t="s">
        <v>18</v>
      </c>
      <c r="B24" s="171"/>
      <c r="C24" s="171"/>
      <c r="D24" s="171"/>
    </row>
    <row r="25" spans="1:6" ht="4.5" customHeight="1">
      <c r="A25" s="2"/>
    </row>
    <row r="26" spans="1:6">
      <c r="A26" s="173" t="s">
        <v>19</v>
      </c>
      <c r="B26" s="173"/>
      <c r="C26" s="173"/>
      <c r="D26" s="173"/>
    </row>
    <row r="27" spans="1:6" ht="2.25" customHeight="1"/>
    <row r="28" spans="1:6">
      <c r="A28" s="10" t="s">
        <v>20</v>
      </c>
      <c r="B28" s="10" t="s">
        <v>21</v>
      </c>
      <c r="C28" s="10" t="s">
        <v>25</v>
      </c>
      <c r="D28" s="10" t="s">
        <v>97</v>
      </c>
      <c r="F28" s="23"/>
    </row>
    <row r="29" spans="1:6">
      <c r="A29" s="5" t="s">
        <v>9</v>
      </c>
      <c r="B29" s="6" t="s">
        <v>144</v>
      </c>
      <c r="C29" s="7">
        <v>8.3299999999999999E-2</v>
      </c>
      <c r="D29" s="36">
        <f>C29*($C$22)</f>
        <v>155.74376090000001</v>
      </c>
    </row>
    <row r="30" spans="1:6">
      <c r="A30" s="5" t="s">
        <v>11</v>
      </c>
      <c r="B30" s="6" t="s">
        <v>145</v>
      </c>
      <c r="C30" s="7">
        <v>0.1111</v>
      </c>
      <c r="D30" s="36">
        <f>C30*($C$22)</f>
        <v>207.72067029999999</v>
      </c>
      <c r="E30" s="44"/>
    </row>
    <row r="31" spans="1:6">
      <c r="A31" s="162" t="s">
        <v>0</v>
      </c>
      <c r="B31" s="162"/>
      <c r="C31" s="8">
        <f>SUM(C29:C30)</f>
        <v>0.19440000000000002</v>
      </c>
      <c r="D31" s="37">
        <f>SUM(D29:D30)</f>
        <v>363.46443120000004</v>
      </c>
    </row>
    <row r="33" spans="1:6">
      <c r="A33" s="192" t="s">
        <v>22</v>
      </c>
      <c r="B33" s="192"/>
      <c r="C33" s="192"/>
      <c r="D33" s="192"/>
    </row>
    <row r="34" spans="1:6" ht="3" customHeight="1"/>
    <row r="35" spans="1:6">
      <c r="A35" s="10" t="s">
        <v>23</v>
      </c>
      <c r="B35" s="10" t="s">
        <v>24</v>
      </c>
      <c r="C35" s="10" t="s">
        <v>25</v>
      </c>
      <c r="D35" s="10" t="s">
        <v>97</v>
      </c>
    </row>
    <row r="36" spans="1:6">
      <c r="A36" s="5" t="s">
        <v>9</v>
      </c>
      <c r="B36" s="6" t="s">
        <v>26</v>
      </c>
      <c r="C36" s="70">
        <v>0.2</v>
      </c>
      <c r="D36" s="35">
        <f>C36*($C$22+$D$31)</f>
        <v>446.62748624</v>
      </c>
    </row>
    <row r="37" spans="1:6">
      <c r="A37" s="5" t="s">
        <v>11</v>
      </c>
      <c r="B37" s="6" t="s">
        <v>27</v>
      </c>
      <c r="C37" s="70">
        <v>2.5000000000000001E-2</v>
      </c>
      <c r="D37" s="35">
        <f t="shared" ref="D37:D43" si="0">C37*($C$22+$D$31)</f>
        <v>55.82843578</v>
      </c>
    </row>
    <row r="38" spans="1:6">
      <c r="A38" s="5" t="s">
        <v>12</v>
      </c>
      <c r="B38" s="6" t="s">
        <v>86</v>
      </c>
      <c r="C38" s="71">
        <v>1.4999999999999999E-2</v>
      </c>
      <c r="D38" s="35">
        <f t="shared" si="0"/>
        <v>33.497061467999998</v>
      </c>
    </row>
    <row r="39" spans="1:6">
      <c r="A39" s="5" t="s">
        <v>13</v>
      </c>
      <c r="B39" s="6" t="s">
        <v>28</v>
      </c>
      <c r="C39" s="70">
        <v>1.4999999999999999E-2</v>
      </c>
      <c r="D39" s="35">
        <f t="shared" si="0"/>
        <v>33.497061467999998</v>
      </c>
    </row>
    <row r="40" spans="1:6">
      <c r="A40" s="5" t="s">
        <v>14</v>
      </c>
      <c r="B40" s="6" t="s">
        <v>29</v>
      </c>
      <c r="C40" s="70">
        <v>0.01</v>
      </c>
      <c r="D40" s="35">
        <f t="shared" si="0"/>
        <v>22.331374311999998</v>
      </c>
    </row>
    <row r="41" spans="1:6">
      <c r="A41" s="5" t="s">
        <v>15</v>
      </c>
      <c r="B41" s="6" t="s">
        <v>1</v>
      </c>
      <c r="C41" s="70">
        <v>6.0000000000000001E-3</v>
      </c>
      <c r="D41" s="35">
        <f t="shared" si="0"/>
        <v>13.3988245872</v>
      </c>
    </row>
    <row r="42" spans="1:6">
      <c r="A42" s="5" t="s">
        <v>16</v>
      </c>
      <c r="B42" s="6" t="s">
        <v>2</v>
      </c>
      <c r="C42" s="70">
        <v>2E-3</v>
      </c>
      <c r="D42" s="35">
        <f t="shared" si="0"/>
        <v>4.4662748623999997</v>
      </c>
    </row>
    <row r="43" spans="1:6">
      <c r="A43" s="5" t="s">
        <v>30</v>
      </c>
      <c r="B43" s="6" t="s">
        <v>3</v>
      </c>
      <c r="C43" s="70">
        <v>0.08</v>
      </c>
      <c r="D43" s="35">
        <f t="shared" si="0"/>
        <v>178.65099449599998</v>
      </c>
    </row>
    <row r="44" spans="1:6">
      <c r="A44" s="162" t="s">
        <v>31</v>
      </c>
      <c r="B44" s="162"/>
      <c r="C44" s="9">
        <f>SUM(C36:C43)</f>
        <v>0.35300000000000004</v>
      </c>
      <c r="D44" s="45">
        <f>SUM(D36:D43)</f>
        <v>788.29751321359993</v>
      </c>
    </row>
    <row r="46" spans="1:6">
      <c r="A46" s="171" t="s">
        <v>32</v>
      </c>
      <c r="B46" s="171"/>
      <c r="C46" s="171"/>
      <c r="D46" s="171"/>
    </row>
    <row r="47" spans="1:6" ht="3" customHeight="1"/>
    <row r="48" spans="1:6" ht="42" customHeight="1">
      <c r="A48" s="10" t="s">
        <v>33</v>
      </c>
      <c r="B48" s="10" t="s">
        <v>34</v>
      </c>
      <c r="C48" s="147" t="s">
        <v>97</v>
      </c>
      <c r="D48" s="148"/>
      <c r="F48" s="22"/>
    </row>
    <row r="49" spans="1:6">
      <c r="A49" s="5" t="s">
        <v>9</v>
      </c>
      <c r="B49" s="6" t="s">
        <v>137</v>
      </c>
      <c r="C49" s="145">
        <f>(4.2*2*15)-(C18*6%)</f>
        <v>39.707400000000007</v>
      </c>
      <c r="D49" s="146"/>
      <c r="E49" s="34"/>
      <c r="F49" s="22"/>
    </row>
    <row r="50" spans="1:6">
      <c r="A50" s="5" t="s">
        <v>11</v>
      </c>
      <c r="B50" s="124" t="s">
        <v>268</v>
      </c>
      <c r="C50" s="149">
        <f>(23.12*15)*0.9</f>
        <v>312.12</v>
      </c>
      <c r="D50" s="150"/>
    </row>
    <row r="51" spans="1:6">
      <c r="A51" s="5" t="s">
        <v>12</v>
      </c>
      <c r="B51" s="6" t="s">
        <v>93</v>
      </c>
      <c r="C51" s="145">
        <f>3.8%*C18</f>
        <v>54.651980000000002</v>
      </c>
      <c r="D51" s="146"/>
    </row>
    <row r="52" spans="1:6">
      <c r="A52" s="5" t="s">
        <v>13</v>
      </c>
      <c r="B52" s="6" t="s">
        <v>263</v>
      </c>
      <c r="C52" s="145">
        <v>5.6</v>
      </c>
      <c r="D52" s="146"/>
    </row>
    <row r="53" spans="1:6">
      <c r="A53" s="5" t="s">
        <v>14</v>
      </c>
      <c r="B53" s="6" t="s">
        <v>146</v>
      </c>
      <c r="C53" s="145">
        <v>97</v>
      </c>
      <c r="D53" s="146"/>
    </row>
    <row r="54" spans="1:6">
      <c r="A54" s="5" t="s">
        <v>15</v>
      </c>
      <c r="B54" s="6" t="s">
        <v>94</v>
      </c>
      <c r="C54" s="145">
        <v>1.5</v>
      </c>
      <c r="D54" s="146"/>
    </row>
    <row r="55" spans="1:6">
      <c r="A55" s="162" t="s">
        <v>0</v>
      </c>
      <c r="B55" s="162"/>
      <c r="C55" s="151">
        <f>SUM(C49:C54)</f>
        <v>510.57938000000001</v>
      </c>
      <c r="D55" s="152"/>
      <c r="E55" s="27"/>
    </row>
    <row r="57" spans="1:6" ht="27.75" customHeight="1">
      <c r="A57" s="172" t="s">
        <v>35</v>
      </c>
      <c r="B57" s="172"/>
      <c r="C57" s="172"/>
      <c r="D57" s="172"/>
    </row>
    <row r="58" spans="1:6" ht="3" customHeight="1"/>
    <row r="59" spans="1:6">
      <c r="A59" s="10">
        <v>2</v>
      </c>
      <c r="B59" s="10" t="s">
        <v>36</v>
      </c>
      <c r="C59" s="147" t="str">
        <f>C48</f>
        <v>VALOR</v>
      </c>
      <c r="D59" s="148"/>
    </row>
    <row r="60" spans="1:6">
      <c r="A60" s="5" t="s">
        <v>20</v>
      </c>
      <c r="B60" s="6" t="s">
        <v>21</v>
      </c>
      <c r="C60" s="145">
        <f>D31</f>
        <v>363.46443120000004</v>
      </c>
      <c r="D60" s="146"/>
    </row>
    <row r="61" spans="1:6">
      <c r="A61" s="5" t="s">
        <v>23</v>
      </c>
      <c r="B61" s="6" t="s">
        <v>24</v>
      </c>
      <c r="C61" s="145">
        <f>D44</f>
        <v>788.29751321359993</v>
      </c>
      <c r="D61" s="146"/>
    </row>
    <row r="62" spans="1:6">
      <c r="A62" s="5" t="s">
        <v>33</v>
      </c>
      <c r="B62" s="6" t="s">
        <v>34</v>
      </c>
      <c r="C62" s="145">
        <f>C55</f>
        <v>510.57938000000001</v>
      </c>
      <c r="D62" s="146"/>
    </row>
    <row r="63" spans="1:6">
      <c r="A63" s="162" t="s">
        <v>0</v>
      </c>
      <c r="B63" s="162"/>
      <c r="C63" s="155">
        <f>SUM(C60:C62)</f>
        <v>1662.3413244136</v>
      </c>
      <c r="D63" s="156"/>
    </row>
    <row r="64" spans="1:6">
      <c r="A64" s="1"/>
    </row>
    <row r="65" spans="1:5">
      <c r="A65" s="171" t="s">
        <v>37</v>
      </c>
      <c r="B65" s="171"/>
      <c r="C65" s="171"/>
      <c r="D65" s="171"/>
    </row>
    <row r="66" spans="1:5" ht="3.75" customHeight="1"/>
    <row r="67" spans="1:5">
      <c r="A67" s="12">
        <v>3</v>
      </c>
      <c r="B67" s="12" t="s">
        <v>38</v>
      </c>
      <c r="C67" s="12" t="s">
        <v>70</v>
      </c>
      <c r="D67" s="12" t="str">
        <f>C59</f>
        <v>VALOR</v>
      </c>
    </row>
    <row r="68" spans="1:5">
      <c r="A68" s="5" t="s">
        <v>9</v>
      </c>
      <c r="B68" s="11" t="s">
        <v>39</v>
      </c>
      <c r="C68" s="70">
        <f>SUM((1/12)*0.05)</f>
        <v>4.1666666666666666E-3</v>
      </c>
      <c r="D68" s="35">
        <f t="shared" ref="D68:D73" si="1">C68*($C$22)</f>
        <v>7.7903041666666661</v>
      </c>
    </row>
    <row r="69" spans="1:5">
      <c r="A69" s="5" t="s">
        <v>11</v>
      </c>
      <c r="B69" s="11" t="s">
        <v>40</v>
      </c>
      <c r="C69" s="70">
        <f>0.42%*8%</f>
        <v>3.3599999999999998E-4</v>
      </c>
      <c r="D69" s="35">
        <f t="shared" si="1"/>
        <v>0.62821012799999998</v>
      </c>
    </row>
    <row r="70" spans="1:5" ht="19.5" customHeight="1">
      <c r="A70" s="5" t="s">
        <v>12</v>
      </c>
      <c r="B70" s="11" t="s">
        <v>41</v>
      </c>
      <c r="C70" s="70">
        <v>1.1999999999999999E-3</v>
      </c>
      <c r="D70" s="35">
        <f t="shared" si="1"/>
        <v>2.2436075999999998</v>
      </c>
    </row>
    <row r="71" spans="1:5">
      <c r="A71" s="5" t="s">
        <v>13</v>
      </c>
      <c r="B71" s="11" t="s">
        <v>42</v>
      </c>
      <c r="C71" s="70">
        <v>1.9400000000000001E-2</v>
      </c>
      <c r="D71" s="35">
        <f t="shared" si="1"/>
        <v>36.271656200000002</v>
      </c>
      <c r="E71" s="25"/>
    </row>
    <row r="72" spans="1:5">
      <c r="A72" s="5" t="s">
        <v>14</v>
      </c>
      <c r="B72" s="11" t="s">
        <v>43</v>
      </c>
      <c r="C72" s="70">
        <f>C71*C44</f>
        <v>6.8482000000000013E-3</v>
      </c>
      <c r="D72" s="35">
        <f t="shared" si="1"/>
        <v>12.803894638600003</v>
      </c>
      <c r="E72" s="26"/>
    </row>
    <row r="73" spans="1:5">
      <c r="A73" s="5" t="s">
        <v>15</v>
      </c>
      <c r="B73" s="11" t="s">
        <v>44</v>
      </c>
      <c r="C73" s="70">
        <v>3.8800000000000001E-2</v>
      </c>
      <c r="D73" s="35">
        <f t="shared" si="1"/>
        <v>72.543312400000005</v>
      </c>
    </row>
    <row r="74" spans="1:5">
      <c r="A74" s="162" t="s">
        <v>0</v>
      </c>
      <c r="B74" s="162"/>
      <c r="C74" s="9">
        <f>SUM(C68:C73)</f>
        <v>7.0750866666666662E-2</v>
      </c>
      <c r="D74" s="37">
        <f>SUM(D68:D73)</f>
        <v>132.28098513326665</v>
      </c>
    </row>
    <row r="76" spans="1:5">
      <c r="A76" s="171" t="s">
        <v>45</v>
      </c>
      <c r="B76" s="171"/>
      <c r="C76" s="171"/>
      <c r="D76" s="171"/>
    </row>
    <row r="77" spans="1:5" ht="3" customHeight="1"/>
    <row r="78" spans="1:5">
      <c r="A78" s="173" t="s">
        <v>46</v>
      </c>
      <c r="B78" s="173"/>
      <c r="C78" s="173"/>
      <c r="D78" s="173"/>
    </row>
    <row r="79" spans="1:5" ht="3" customHeight="1">
      <c r="A79" s="2"/>
    </row>
    <row r="80" spans="1:5">
      <c r="A80" s="12" t="s">
        <v>47</v>
      </c>
      <c r="B80" s="12" t="s">
        <v>48</v>
      </c>
      <c r="C80" s="12" t="s">
        <v>71</v>
      </c>
      <c r="D80" s="12" t="str">
        <f>D67</f>
        <v>VALOR</v>
      </c>
      <c r="E80" s="93"/>
    </row>
    <row r="81" spans="1:5">
      <c r="A81" s="5" t="s">
        <v>9</v>
      </c>
      <c r="B81" s="6" t="s">
        <v>90</v>
      </c>
      <c r="C81" s="70">
        <f>11.11%/12</f>
        <v>9.258333333333332E-3</v>
      </c>
      <c r="D81" s="36">
        <f>C81*($C$22)</f>
        <v>17.310055858333332</v>
      </c>
      <c r="E81" s="93"/>
    </row>
    <row r="82" spans="1:5">
      <c r="A82" s="5" t="s">
        <v>11</v>
      </c>
      <c r="B82" s="6" t="s">
        <v>48</v>
      </c>
      <c r="C82" s="70">
        <v>2.8E-3</v>
      </c>
      <c r="D82" s="36">
        <f t="shared" ref="D82:D85" si="2">C82*($C$22)</f>
        <v>5.2350843999999999</v>
      </c>
    </row>
    <row r="83" spans="1:5">
      <c r="A83" s="5" t="s">
        <v>12</v>
      </c>
      <c r="B83" s="6" t="s">
        <v>49</v>
      </c>
      <c r="C83" s="72">
        <v>2.0000000000000001E-4</v>
      </c>
      <c r="D83" s="36">
        <f t="shared" si="2"/>
        <v>0.37393460000000001</v>
      </c>
    </row>
    <row r="84" spans="1:5">
      <c r="A84" s="5" t="s">
        <v>13</v>
      </c>
      <c r="B84" s="6" t="s">
        <v>50</v>
      </c>
      <c r="C84" s="72">
        <v>8.0000000000000004E-4</v>
      </c>
      <c r="D84" s="36">
        <f t="shared" si="2"/>
        <v>1.4957384</v>
      </c>
    </row>
    <row r="85" spans="1:5">
      <c r="A85" s="5" t="s">
        <v>14</v>
      </c>
      <c r="B85" s="6" t="s">
        <v>138</v>
      </c>
      <c r="C85" s="80">
        <v>2.9999999999999997E-4</v>
      </c>
      <c r="D85" s="36">
        <f t="shared" si="2"/>
        <v>0.56090189999999995</v>
      </c>
      <c r="E85" s="27"/>
    </row>
    <row r="86" spans="1:5">
      <c r="A86" s="5" t="s">
        <v>15</v>
      </c>
      <c r="B86" s="6" t="s">
        <v>87</v>
      </c>
      <c r="C86" s="80">
        <v>0</v>
      </c>
      <c r="D86" s="36">
        <f>C86*($C$22)</f>
        <v>0</v>
      </c>
      <c r="E86" s="28"/>
    </row>
    <row r="87" spans="1:5" ht="21.75" customHeight="1">
      <c r="A87" s="174" t="s">
        <v>31</v>
      </c>
      <c r="B87" s="174"/>
      <c r="C87" s="14">
        <f>SUM(C81:C86)</f>
        <v>1.3358333333333333E-2</v>
      </c>
      <c r="D87" s="38">
        <f>SUM(D81:D86)</f>
        <v>24.975715158333333</v>
      </c>
      <c r="E87" s="30"/>
    </row>
    <row r="89" spans="1:5">
      <c r="A89" s="173" t="s">
        <v>51</v>
      </c>
      <c r="B89" s="173"/>
      <c r="C89" s="173"/>
      <c r="D89" s="173"/>
    </row>
    <row r="90" spans="1:5" ht="3" customHeight="1">
      <c r="A90" s="2"/>
    </row>
    <row r="91" spans="1:5">
      <c r="A91" s="12" t="s">
        <v>52</v>
      </c>
      <c r="B91" s="12" t="s">
        <v>53</v>
      </c>
      <c r="C91" s="175" t="str">
        <f>D80</f>
        <v>VALOR</v>
      </c>
      <c r="D91" s="176"/>
    </row>
    <row r="92" spans="1:5">
      <c r="A92" s="5" t="s">
        <v>9</v>
      </c>
      <c r="B92" s="6" t="s">
        <v>67</v>
      </c>
      <c r="C92" s="145">
        <f>(C18+C19)/220*1.5*15</f>
        <v>191.21655681818183</v>
      </c>
      <c r="D92" s="146"/>
    </row>
    <row r="93" spans="1:5" hidden="1">
      <c r="A93" s="5" t="s">
        <v>11</v>
      </c>
      <c r="B93" s="6" t="s">
        <v>146</v>
      </c>
      <c r="C93" s="145">
        <v>0</v>
      </c>
      <c r="D93" s="146"/>
    </row>
    <row r="94" spans="1:5">
      <c r="A94" s="174" t="s">
        <v>0</v>
      </c>
      <c r="B94" s="174"/>
      <c r="C94" s="153">
        <f>SUM(C92:D93)</f>
        <v>191.21655681818183</v>
      </c>
      <c r="D94" s="154"/>
    </row>
    <row r="96" spans="1:5" ht="20.399999999999999">
      <c r="A96" s="172" t="s">
        <v>54</v>
      </c>
      <c r="B96" s="172"/>
      <c r="C96" s="172"/>
      <c r="D96" s="172"/>
    </row>
    <row r="97" spans="1:15" ht="4.5" customHeight="1">
      <c r="A97" s="2"/>
    </row>
    <row r="98" spans="1:15">
      <c r="A98" s="10">
        <v>4</v>
      </c>
      <c r="B98" s="10" t="s">
        <v>55</v>
      </c>
      <c r="C98" s="147" t="str">
        <f>C91</f>
        <v>VALOR</v>
      </c>
      <c r="D98" s="148"/>
    </row>
    <row r="99" spans="1:15">
      <c r="A99" s="5" t="s">
        <v>47</v>
      </c>
      <c r="B99" s="6" t="s">
        <v>48</v>
      </c>
      <c r="C99" s="145">
        <f>D87</f>
        <v>24.975715158333333</v>
      </c>
      <c r="D99" s="146"/>
    </row>
    <row r="100" spans="1:15">
      <c r="A100" s="5" t="s">
        <v>52</v>
      </c>
      <c r="B100" s="6" t="s">
        <v>53</v>
      </c>
      <c r="C100" s="145">
        <f>C94</f>
        <v>191.21655681818183</v>
      </c>
      <c r="D100" s="146"/>
    </row>
    <row r="101" spans="1:15">
      <c r="A101" s="162" t="s">
        <v>0</v>
      </c>
      <c r="B101" s="162"/>
      <c r="C101" s="177">
        <f>SUM(C99:D100)</f>
        <v>216.19227197651517</v>
      </c>
      <c r="D101" s="178"/>
    </row>
    <row r="102" spans="1:15">
      <c r="C102" s="40"/>
    </row>
    <row r="103" spans="1:15">
      <c r="A103" s="171" t="s">
        <v>56</v>
      </c>
      <c r="B103" s="171"/>
      <c r="C103" s="171"/>
    </row>
    <row r="104" spans="1:15" ht="3" customHeight="1"/>
    <row r="105" spans="1:15">
      <c r="A105" s="4">
        <v>5</v>
      </c>
      <c r="B105" s="15" t="s">
        <v>4</v>
      </c>
      <c r="C105" s="147" t="str">
        <f>C98</f>
        <v>VALOR</v>
      </c>
      <c r="D105" s="148"/>
    </row>
    <row r="106" spans="1:15">
      <c r="A106" s="5" t="s">
        <v>9</v>
      </c>
      <c r="B106" s="6" t="s">
        <v>57</v>
      </c>
      <c r="C106" s="145">
        <f>Uniformes!H14</f>
        <v>13.416666666666668</v>
      </c>
      <c r="D106" s="146"/>
      <c r="O106" s="39"/>
    </row>
    <row r="107" spans="1:15">
      <c r="A107" s="5" t="s">
        <v>11</v>
      </c>
      <c r="B107" s="6" t="s">
        <v>58</v>
      </c>
      <c r="C107" s="157">
        <f>Uniformes!H32</f>
        <v>4.1333333333333337</v>
      </c>
      <c r="D107" s="158"/>
    </row>
    <row r="108" spans="1:15">
      <c r="A108" s="5" t="s">
        <v>12</v>
      </c>
      <c r="B108" s="6" t="s">
        <v>59</v>
      </c>
      <c r="C108" s="159"/>
      <c r="D108" s="160"/>
    </row>
    <row r="109" spans="1:15">
      <c r="A109" s="5" t="s">
        <v>13</v>
      </c>
      <c r="B109" s="6" t="s">
        <v>17</v>
      </c>
      <c r="C109" s="145"/>
      <c r="D109" s="146"/>
    </row>
    <row r="110" spans="1:15">
      <c r="A110" s="162" t="s">
        <v>31</v>
      </c>
      <c r="B110" s="162"/>
      <c r="C110" s="155">
        <f>SUM(C106:D109)</f>
        <v>17.55</v>
      </c>
      <c r="D110" s="156"/>
    </row>
    <row r="112" spans="1:15">
      <c r="A112" s="161" t="s">
        <v>60</v>
      </c>
      <c r="B112" s="161"/>
      <c r="C112" s="161"/>
      <c r="D112" s="161"/>
    </row>
    <row r="113" spans="1:6" ht="3" customHeight="1"/>
    <row r="114" spans="1:6">
      <c r="A114" s="41">
        <v>6</v>
      </c>
      <c r="B114" s="16" t="s">
        <v>5</v>
      </c>
      <c r="C114" s="41" t="s">
        <v>25</v>
      </c>
      <c r="D114" s="10" t="s">
        <v>97</v>
      </c>
    </row>
    <row r="115" spans="1:6">
      <c r="A115" s="5" t="s">
        <v>9</v>
      </c>
      <c r="B115" s="6" t="s">
        <v>88</v>
      </c>
      <c r="C115" s="13">
        <v>5.0000000000000001E-4</v>
      </c>
      <c r="D115" s="35">
        <f>C115*C133</f>
        <v>1.9490187907616909</v>
      </c>
      <c r="E115" s="29"/>
    </row>
    <row r="116" spans="1:6">
      <c r="A116" s="5" t="s">
        <v>11</v>
      </c>
      <c r="B116" s="6" t="s">
        <v>89</v>
      </c>
      <c r="C116" s="13">
        <v>5.0000000000000001E-4</v>
      </c>
      <c r="D116" s="35">
        <f>C116*(D115+C133)</f>
        <v>1.949993300157072</v>
      </c>
      <c r="E116" s="29"/>
      <c r="F116" s="46"/>
    </row>
    <row r="117" spans="1:6" ht="31.2">
      <c r="A117" s="4" t="s">
        <v>12</v>
      </c>
      <c r="B117" s="15" t="s">
        <v>267</v>
      </c>
      <c r="C117" s="73">
        <v>8.6499999999999994E-2</v>
      </c>
      <c r="D117" s="75">
        <f>D118+D119+D120+D121</f>
        <v>369.47730196785659</v>
      </c>
      <c r="E117" s="33"/>
    </row>
    <row r="118" spans="1:6" ht="31.2">
      <c r="A118" s="5"/>
      <c r="B118" s="6" t="s">
        <v>98</v>
      </c>
      <c r="C118" s="74">
        <v>6.4999999999999997E-3</v>
      </c>
      <c r="D118" s="36">
        <f>((D115+D116+C133)/0.9135)*C118</f>
        <v>27.764190321284019</v>
      </c>
      <c r="E118" s="47"/>
    </row>
    <row r="119" spans="1:6" ht="31.2">
      <c r="A119" s="5"/>
      <c r="B119" s="6" t="s">
        <v>99</v>
      </c>
      <c r="C119" s="74">
        <v>0.03</v>
      </c>
      <c r="D119" s="36">
        <f>((D115+D116+C133)/0.9135)*C119</f>
        <v>128.1424168674647</v>
      </c>
      <c r="E119" s="47"/>
    </row>
    <row r="120" spans="1:6">
      <c r="A120" s="5"/>
      <c r="B120" s="6" t="s">
        <v>61</v>
      </c>
      <c r="C120" s="74"/>
      <c r="D120" s="51"/>
      <c r="E120" s="48"/>
    </row>
    <row r="121" spans="1:6" ht="31.2">
      <c r="A121" s="5"/>
      <c r="B121" s="6" t="s">
        <v>100</v>
      </c>
      <c r="C121" s="74">
        <v>0.05</v>
      </c>
      <c r="D121" s="36">
        <f>((D115+D116+C133)/0.9135)*C121</f>
        <v>213.57069477910787</v>
      </c>
      <c r="E121" s="48"/>
    </row>
    <row r="122" spans="1:6">
      <c r="A122" s="169" t="s">
        <v>31</v>
      </c>
      <c r="B122" s="169"/>
      <c r="C122" s="8">
        <f>C115+C116+C117</f>
        <v>8.7499999999999994E-2</v>
      </c>
      <c r="D122" s="52">
        <f>D115+D116+D117</f>
        <v>373.37631405877534</v>
      </c>
      <c r="E122" s="31"/>
    </row>
    <row r="123" spans="1:6">
      <c r="A123" s="170" t="s">
        <v>72</v>
      </c>
      <c r="B123" s="53">
        <f>(1-(0.65%+3%+5%)/1)</f>
        <v>0.91349999999999998</v>
      </c>
      <c r="E123" s="32"/>
    </row>
    <row r="124" spans="1:6" ht="10.5" customHeight="1">
      <c r="A124" s="170"/>
      <c r="B124" s="54"/>
    </row>
    <row r="125" spans="1:6">
      <c r="A125" s="161" t="s">
        <v>62</v>
      </c>
      <c r="B125" s="161"/>
      <c r="C125" s="161"/>
      <c r="D125" s="161"/>
      <c r="E125" s="23"/>
      <c r="F125" s="22"/>
    </row>
    <row r="126" spans="1:6" ht="3" customHeight="1"/>
    <row r="127" spans="1:6">
      <c r="A127" s="10"/>
      <c r="B127" s="10" t="s">
        <v>63</v>
      </c>
      <c r="C127" s="147" t="s">
        <v>97</v>
      </c>
      <c r="D127" s="148"/>
    </row>
    <row r="128" spans="1:6">
      <c r="A128" s="4" t="s">
        <v>9</v>
      </c>
      <c r="B128" s="6" t="s">
        <v>7</v>
      </c>
      <c r="C128" s="163">
        <f>C22</f>
        <v>1869.673</v>
      </c>
      <c r="D128" s="164"/>
    </row>
    <row r="129" spans="1:6">
      <c r="A129" s="4" t="s">
        <v>11</v>
      </c>
      <c r="B129" s="6" t="s">
        <v>18</v>
      </c>
      <c r="C129" s="163">
        <f>C63</f>
        <v>1662.3413244136</v>
      </c>
      <c r="D129" s="164"/>
    </row>
    <row r="130" spans="1:6">
      <c r="A130" s="4" t="s">
        <v>12</v>
      </c>
      <c r="B130" s="6" t="s">
        <v>37</v>
      </c>
      <c r="C130" s="163">
        <f>D74</f>
        <v>132.28098513326665</v>
      </c>
      <c r="D130" s="164"/>
    </row>
    <row r="131" spans="1:6">
      <c r="A131" s="4" t="s">
        <v>13</v>
      </c>
      <c r="B131" s="6" t="s">
        <v>45</v>
      </c>
      <c r="C131" s="163">
        <f>C101</f>
        <v>216.19227197651517</v>
      </c>
      <c r="D131" s="164"/>
    </row>
    <row r="132" spans="1:6">
      <c r="A132" s="4" t="s">
        <v>14</v>
      </c>
      <c r="B132" s="6" t="s">
        <v>56</v>
      </c>
      <c r="C132" s="163">
        <f>C110</f>
        <v>17.55</v>
      </c>
      <c r="D132" s="164"/>
    </row>
    <row r="133" spans="1:6" ht="16.2">
      <c r="A133" s="162" t="s">
        <v>64</v>
      </c>
      <c r="B133" s="162"/>
      <c r="C133" s="165">
        <f>SUM(C128:D132)</f>
        <v>3898.037581523382</v>
      </c>
      <c r="D133" s="166"/>
      <c r="E133" s="23"/>
      <c r="F133" s="23"/>
    </row>
    <row r="134" spans="1:6">
      <c r="A134" s="4" t="s">
        <v>15</v>
      </c>
      <c r="B134" s="6" t="s">
        <v>65</v>
      </c>
      <c r="C134" s="167">
        <f>D115+D116+D117</f>
        <v>373.37631405877534</v>
      </c>
      <c r="D134" s="168"/>
    </row>
    <row r="135" spans="1:6">
      <c r="A135" s="162" t="s">
        <v>66</v>
      </c>
      <c r="B135" s="162"/>
      <c r="C135" s="155">
        <f>ROUND((C133+C134),2)</f>
        <v>4271.41</v>
      </c>
      <c r="D135" s="156"/>
      <c r="F135" s="3">
        <v>4271.41</v>
      </c>
    </row>
    <row r="136" spans="1:6">
      <c r="A136"/>
      <c r="B136"/>
      <c r="C136" s="24"/>
      <c r="D136"/>
      <c r="E136"/>
      <c r="F136" s="93">
        <f>C135-F135</f>
        <v>0</v>
      </c>
    </row>
    <row r="137" spans="1:6">
      <c r="D137" s="49"/>
    </row>
    <row r="138" spans="1:6">
      <c r="D138" s="50"/>
    </row>
    <row r="185" ht="1.8" customHeight="1"/>
    <row r="186" ht="7.2" hidden="1" customHeight="1"/>
  </sheetData>
  <mergeCells count="82">
    <mergeCell ref="A13:B13"/>
    <mergeCell ref="A1:D1"/>
    <mergeCell ref="A2:D2"/>
    <mergeCell ref="B3:D3"/>
    <mergeCell ref="B4:D4"/>
    <mergeCell ref="A6:D6"/>
    <mergeCell ref="C7:D7"/>
    <mergeCell ref="C8:D8"/>
    <mergeCell ref="C9:D9"/>
    <mergeCell ref="C10:D10"/>
    <mergeCell ref="A11:D11"/>
    <mergeCell ref="A12:B12"/>
    <mergeCell ref="A31:B31"/>
    <mergeCell ref="A14:D14"/>
    <mergeCell ref="A15:D15"/>
    <mergeCell ref="C17:D17"/>
    <mergeCell ref="C18:D18"/>
    <mergeCell ref="C19:D19"/>
    <mergeCell ref="C20:D20"/>
    <mergeCell ref="C21:D21"/>
    <mergeCell ref="A22:B22"/>
    <mergeCell ref="C22:D22"/>
    <mergeCell ref="A24:D24"/>
    <mergeCell ref="A26:D26"/>
    <mergeCell ref="A57:D57"/>
    <mergeCell ref="A33:D33"/>
    <mergeCell ref="A44:B44"/>
    <mergeCell ref="A46:D46"/>
    <mergeCell ref="C48:D48"/>
    <mergeCell ref="C49:D49"/>
    <mergeCell ref="C50:D50"/>
    <mergeCell ref="C51:D51"/>
    <mergeCell ref="C52:D52"/>
    <mergeCell ref="C54:D54"/>
    <mergeCell ref="A55:B55"/>
    <mergeCell ref="C55:D55"/>
    <mergeCell ref="C53:D53"/>
    <mergeCell ref="A89:D89"/>
    <mergeCell ref="C59:D59"/>
    <mergeCell ref="C60:D60"/>
    <mergeCell ref="C61:D61"/>
    <mergeCell ref="C62:D62"/>
    <mergeCell ref="A63:B63"/>
    <mergeCell ref="C63:D63"/>
    <mergeCell ref="A65:D65"/>
    <mergeCell ref="A74:B74"/>
    <mergeCell ref="A76:D76"/>
    <mergeCell ref="A78:D78"/>
    <mergeCell ref="A87:B87"/>
    <mergeCell ref="C105:D105"/>
    <mergeCell ref="C91:D91"/>
    <mergeCell ref="C92:D92"/>
    <mergeCell ref="A94:B94"/>
    <mergeCell ref="C94:D94"/>
    <mergeCell ref="A96:D96"/>
    <mergeCell ref="C98:D98"/>
    <mergeCell ref="C99:D99"/>
    <mergeCell ref="C100:D100"/>
    <mergeCell ref="A101:B101"/>
    <mergeCell ref="C101:D101"/>
    <mergeCell ref="A103:C103"/>
    <mergeCell ref="C93:D93"/>
    <mergeCell ref="C129:D129"/>
    <mergeCell ref="C106:D106"/>
    <mergeCell ref="C107:D108"/>
    <mergeCell ref="C109:D109"/>
    <mergeCell ref="A110:B110"/>
    <mergeCell ref="C110:D110"/>
    <mergeCell ref="A112:D112"/>
    <mergeCell ref="A122:B122"/>
    <mergeCell ref="A123:A124"/>
    <mergeCell ref="A125:D125"/>
    <mergeCell ref="C127:D127"/>
    <mergeCell ref="C128:D128"/>
    <mergeCell ref="A135:B135"/>
    <mergeCell ref="C135:D135"/>
    <mergeCell ref="C130:D130"/>
    <mergeCell ref="C131:D131"/>
    <mergeCell ref="C132:D132"/>
    <mergeCell ref="A133:B133"/>
    <mergeCell ref="C133:D133"/>
    <mergeCell ref="C134:D134"/>
  </mergeCells>
  <pageMargins left="0.51181102362204722" right="0.51181102362204722" top="1.1417322834645669" bottom="0.35433070866141736" header="0.31496062992125984" footer="0.31496062992125984"/>
  <pageSetup paperSize="9" scale="64" fitToHeight="0" orientation="portrait" cellComments="asDisplayed" r:id="rId1"/>
  <headerFooter>
    <oddHeader>&amp;L&amp;G</oddHeader>
    <oddFooter>&amp;C&amp;G</oddFooter>
  </headerFooter>
  <rowBreaks count="2" manualBreakCount="2">
    <brk id="44" max="4" man="1"/>
    <brk id="110" max="4"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74A56-F85B-4241-BFE9-869A9E986C3D}">
  <dimension ref="A1:O186"/>
  <sheetViews>
    <sheetView view="pageBreakPreview" topLeftCell="A114" zoomScale="85" zoomScaleNormal="100" zoomScaleSheetLayoutView="85" workbookViewId="0">
      <selection activeCell="C115" sqref="C115:C116"/>
    </sheetView>
  </sheetViews>
  <sheetFormatPr defaultColWidth="9.109375" defaultRowHeight="15.6"/>
  <cols>
    <col min="1" max="1" width="13.5546875" style="3" customWidth="1"/>
    <col min="2" max="2" width="72.109375" style="3" customWidth="1"/>
    <col min="3" max="3" width="18.109375" style="3" customWidth="1"/>
    <col min="4" max="4" width="22.5546875" style="3" customWidth="1"/>
    <col min="5" max="5" width="17.109375" style="3" customWidth="1"/>
    <col min="6" max="6" width="13.44140625" style="3" bestFit="1" customWidth="1"/>
    <col min="7" max="7" width="14.5546875" style="3" customWidth="1"/>
    <col min="8" max="16384" width="9.109375" style="3"/>
  </cols>
  <sheetData>
    <row r="1" spans="1:8" s="1" customFormat="1" ht="102.6" customHeight="1">
      <c r="A1" s="187" t="s">
        <v>139</v>
      </c>
      <c r="B1" s="188"/>
      <c r="C1" s="188"/>
      <c r="D1" s="189"/>
      <c r="E1" s="92"/>
      <c r="F1" s="92"/>
      <c r="G1" s="92"/>
    </row>
    <row r="2" spans="1:8" ht="47.4" customHeight="1">
      <c r="A2" s="180" t="s">
        <v>151</v>
      </c>
      <c r="B2" s="181"/>
      <c r="C2" s="181"/>
      <c r="D2" s="181"/>
      <c r="E2"/>
    </row>
    <row r="3" spans="1:8">
      <c r="A3" s="18" t="s">
        <v>84</v>
      </c>
      <c r="B3" s="182" t="s">
        <v>140</v>
      </c>
      <c r="C3" s="182"/>
      <c r="D3" s="182"/>
      <c r="E3"/>
    </row>
    <row r="4" spans="1:8">
      <c r="A4" s="18" t="s">
        <v>73</v>
      </c>
      <c r="B4" s="182" t="s">
        <v>141</v>
      </c>
      <c r="C4" s="182"/>
      <c r="D4" s="182"/>
      <c r="E4"/>
      <c r="F4"/>
      <c r="G4"/>
      <c r="H4"/>
    </row>
    <row r="5" spans="1:8">
      <c r="A5" s="18" t="s">
        <v>74</v>
      </c>
      <c r="B5" s="56" t="s">
        <v>142</v>
      </c>
      <c r="C5" s="18" t="s">
        <v>85</v>
      </c>
      <c r="D5" s="57"/>
      <c r="E5"/>
      <c r="F5"/>
      <c r="G5"/>
      <c r="H5"/>
    </row>
    <row r="6" spans="1:8">
      <c r="A6" s="179" t="s">
        <v>75</v>
      </c>
      <c r="B6" s="179"/>
      <c r="C6" s="179"/>
      <c r="D6" s="179"/>
      <c r="E6"/>
      <c r="F6"/>
      <c r="G6"/>
      <c r="H6"/>
    </row>
    <row r="7" spans="1:8">
      <c r="A7" s="17" t="s">
        <v>9</v>
      </c>
      <c r="B7" s="20" t="s">
        <v>76</v>
      </c>
      <c r="C7" s="183">
        <v>45048</v>
      </c>
      <c r="D7" s="184"/>
      <c r="E7"/>
      <c r="F7"/>
      <c r="G7"/>
      <c r="H7"/>
    </row>
    <row r="8" spans="1:8">
      <c r="A8" s="17" t="s">
        <v>11</v>
      </c>
      <c r="B8" s="21" t="s">
        <v>77</v>
      </c>
      <c r="C8" s="184" t="s">
        <v>150</v>
      </c>
      <c r="D8" s="184"/>
      <c r="E8"/>
      <c r="F8"/>
      <c r="G8"/>
      <c r="H8"/>
    </row>
    <row r="9" spans="1:8">
      <c r="A9" s="17" t="s">
        <v>12</v>
      </c>
      <c r="B9" s="19" t="s">
        <v>78</v>
      </c>
      <c r="C9" s="184" t="s">
        <v>143</v>
      </c>
      <c r="D9" s="184"/>
      <c r="E9"/>
      <c r="F9"/>
      <c r="G9"/>
      <c r="H9"/>
    </row>
    <row r="10" spans="1:8">
      <c r="A10" s="17" t="s">
        <v>13</v>
      </c>
      <c r="B10" s="21" t="s">
        <v>79</v>
      </c>
      <c r="C10" s="184">
        <v>12</v>
      </c>
      <c r="D10" s="184"/>
      <c r="E10"/>
      <c r="F10"/>
      <c r="G10"/>
      <c r="H10"/>
    </row>
    <row r="11" spans="1:8">
      <c r="A11" s="179" t="s">
        <v>80</v>
      </c>
      <c r="B11" s="179"/>
      <c r="C11" s="179"/>
      <c r="D11" s="179"/>
      <c r="E11"/>
      <c r="F11"/>
      <c r="G11"/>
      <c r="H11"/>
    </row>
    <row r="12" spans="1:8" ht="43.2">
      <c r="A12" s="179" t="s">
        <v>81</v>
      </c>
      <c r="B12" s="179"/>
      <c r="C12" s="42" t="s">
        <v>82</v>
      </c>
      <c r="D12" s="55" t="s">
        <v>83</v>
      </c>
      <c r="E12"/>
      <c r="F12"/>
      <c r="G12"/>
      <c r="H12"/>
    </row>
    <row r="13" spans="1:8" ht="16.5" customHeight="1">
      <c r="A13" s="185" t="s">
        <v>135</v>
      </c>
      <c r="B13" s="185"/>
      <c r="C13" s="43" t="s">
        <v>92</v>
      </c>
      <c r="D13" s="43">
        <v>1</v>
      </c>
      <c r="E13"/>
      <c r="F13"/>
      <c r="G13"/>
      <c r="H13"/>
    </row>
    <row r="14" spans="1:8">
      <c r="A14" s="186"/>
      <c r="B14" s="186"/>
      <c r="C14" s="186"/>
      <c r="D14" s="186"/>
    </row>
    <row r="15" spans="1:8">
      <c r="A15" s="171" t="s">
        <v>101</v>
      </c>
      <c r="B15" s="171"/>
      <c r="C15" s="171"/>
      <c r="D15" s="171"/>
    </row>
    <row r="17" spans="1:6" ht="38.25" customHeight="1">
      <c r="A17" s="10">
        <v>1</v>
      </c>
      <c r="B17" s="10" t="s">
        <v>8</v>
      </c>
      <c r="C17" s="147" t="s">
        <v>97</v>
      </c>
      <c r="D17" s="148"/>
    </row>
    <row r="18" spans="1:6">
      <c r="A18" s="5" t="s">
        <v>9</v>
      </c>
      <c r="B18" s="6" t="s">
        <v>10</v>
      </c>
      <c r="C18" s="145">
        <v>1438.21</v>
      </c>
      <c r="D18" s="146"/>
    </row>
    <row r="19" spans="1:6">
      <c r="A19" s="5" t="s">
        <v>11</v>
      </c>
      <c r="B19" s="6" t="s">
        <v>68</v>
      </c>
      <c r="C19" s="145">
        <f>C18*30/100</f>
        <v>431.46300000000002</v>
      </c>
      <c r="D19" s="146"/>
    </row>
    <row r="20" spans="1:6">
      <c r="A20" s="5" t="s">
        <v>12</v>
      </c>
      <c r="B20" s="6" t="s">
        <v>95</v>
      </c>
      <c r="C20" s="145">
        <f>(C18+C19)/220*0.2*15*7</f>
        <v>178.46878636363638</v>
      </c>
      <c r="D20" s="146"/>
    </row>
    <row r="21" spans="1:6">
      <c r="A21" s="5" t="s">
        <v>13</v>
      </c>
      <c r="B21" s="6" t="s">
        <v>96</v>
      </c>
      <c r="C21" s="145">
        <f>(C18+C19+C20)/220*1.5*15</f>
        <v>209.46904633264467</v>
      </c>
      <c r="D21" s="146"/>
    </row>
    <row r="22" spans="1:6">
      <c r="A22" s="162" t="s">
        <v>0</v>
      </c>
      <c r="B22" s="162"/>
      <c r="C22" s="190">
        <f>SUM(C18:D21)</f>
        <v>2257.6108326962812</v>
      </c>
      <c r="D22" s="191"/>
    </row>
    <row r="24" spans="1:6">
      <c r="A24" s="171" t="s">
        <v>18</v>
      </c>
      <c r="B24" s="171"/>
      <c r="C24" s="171"/>
      <c r="D24" s="171"/>
    </row>
    <row r="25" spans="1:6">
      <c r="A25" s="2"/>
    </row>
    <row r="26" spans="1:6">
      <c r="A26" s="173" t="s">
        <v>19</v>
      </c>
      <c r="B26" s="173"/>
      <c r="C26" s="173"/>
      <c r="D26" s="173"/>
    </row>
    <row r="28" spans="1:6">
      <c r="A28" s="10" t="s">
        <v>20</v>
      </c>
      <c r="B28" s="10" t="s">
        <v>21</v>
      </c>
      <c r="C28" s="10" t="s">
        <v>25</v>
      </c>
      <c r="D28" s="10" t="s">
        <v>97</v>
      </c>
      <c r="F28" s="23"/>
    </row>
    <row r="29" spans="1:6">
      <c r="A29" s="5" t="s">
        <v>9</v>
      </c>
      <c r="B29" s="6" t="s">
        <v>69</v>
      </c>
      <c r="C29" s="7">
        <v>8.3299999999999999E-2</v>
      </c>
      <c r="D29" s="36">
        <f>C29*($C$22)</f>
        <v>188.05898236360022</v>
      </c>
    </row>
    <row r="30" spans="1:6">
      <c r="A30" s="5" t="s">
        <v>11</v>
      </c>
      <c r="B30" s="6" t="s">
        <v>145</v>
      </c>
      <c r="C30" s="7">
        <v>0.1111</v>
      </c>
      <c r="D30" s="36">
        <f>C30*($C$22)</f>
        <v>250.82056351255684</v>
      </c>
      <c r="E30" s="44"/>
    </row>
    <row r="31" spans="1:6">
      <c r="A31" s="162" t="s">
        <v>0</v>
      </c>
      <c r="B31" s="162"/>
      <c r="C31" s="8">
        <f>SUM(C29:C30)</f>
        <v>0.19440000000000002</v>
      </c>
      <c r="D31" s="37">
        <f>SUM(D29:D30)</f>
        <v>438.87954587615707</v>
      </c>
    </row>
    <row r="33" spans="1:6">
      <c r="A33" s="192" t="s">
        <v>22</v>
      </c>
      <c r="B33" s="192"/>
      <c r="C33" s="192"/>
      <c r="D33" s="192"/>
    </row>
    <row r="35" spans="1:6">
      <c r="A35" s="10" t="s">
        <v>23</v>
      </c>
      <c r="B35" s="10" t="s">
        <v>24</v>
      </c>
      <c r="C35" s="10" t="s">
        <v>25</v>
      </c>
      <c r="D35" s="10" t="s">
        <v>97</v>
      </c>
    </row>
    <row r="36" spans="1:6">
      <c r="A36" s="5" t="s">
        <v>9</v>
      </c>
      <c r="B36" s="6" t="s">
        <v>26</v>
      </c>
      <c r="C36" s="70">
        <v>0.2</v>
      </c>
      <c r="D36" s="35">
        <f>C36*($C$22+$D$31)</f>
        <v>539.29807571448771</v>
      </c>
    </row>
    <row r="37" spans="1:6">
      <c r="A37" s="5" t="s">
        <v>11</v>
      </c>
      <c r="B37" s="6" t="s">
        <v>27</v>
      </c>
      <c r="C37" s="70">
        <v>2.5000000000000001E-2</v>
      </c>
      <c r="D37" s="35">
        <f t="shared" ref="D37:D43" si="0">C37*($C$22+$D$31)</f>
        <v>67.412259464310964</v>
      </c>
    </row>
    <row r="38" spans="1:6">
      <c r="A38" s="5" t="s">
        <v>12</v>
      </c>
      <c r="B38" s="6" t="s">
        <v>86</v>
      </c>
      <c r="C38" s="71">
        <v>1.4999999999999999E-2</v>
      </c>
      <c r="D38" s="35">
        <f t="shared" si="0"/>
        <v>40.447355678586568</v>
      </c>
    </row>
    <row r="39" spans="1:6">
      <c r="A39" s="5" t="s">
        <v>13</v>
      </c>
      <c r="B39" s="6" t="s">
        <v>28</v>
      </c>
      <c r="C39" s="70">
        <v>1.4999999999999999E-2</v>
      </c>
      <c r="D39" s="35">
        <f t="shared" si="0"/>
        <v>40.447355678586568</v>
      </c>
    </row>
    <row r="40" spans="1:6">
      <c r="A40" s="5" t="s">
        <v>14</v>
      </c>
      <c r="B40" s="6" t="s">
        <v>29</v>
      </c>
      <c r="C40" s="70">
        <v>0.01</v>
      </c>
      <c r="D40" s="35">
        <f t="shared" si="0"/>
        <v>26.964903785724381</v>
      </c>
    </row>
    <row r="41" spans="1:6">
      <c r="A41" s="5" t="s">
        <v>15</v>
      </c>
      <c r="B41" s="6" t="s">
        <v>1</v>
      </c>
      <c r="C41" s="70">
        <v>6.0000000000000001E-3</v>
      </c>
      <c r="D41" s="35">
        <f t="shared" si="0"/>
        <v>16.178942271434629</v>
      </c>
    </row>
    <row r="42" spans="1:6">
      <c r="A42" s="5" t="s">
        <v>16</v>
      </c>
      <c r="B42" s="6" t="s">
        <v>2</v>
      </c>
      <c r="C42" s="70">
        <v>2E-3</v>
      </c>
      <c r="D42" s="35">
        <f t="shared" si="0"/>
        <v>5.3929807571448762</v>
      </c>
    </row>
    <row r="43" spans="1:6">
      <c r="A43" s="5" t="s">
        <v>30</v>
      </c>
      <c r="B43" s="6" t="s">
        <v>3</v>
      </c>
      <c r="C43" s="70">
        <v>0.08</v>
      </c>
      <c r="D43" s="35">
        <f t="shared" si="0"/>
        <v>215.71923028579505</v>
      </c>
    </row>
    <row r="44" spans="1:6">
      <c r="A44" s="162" t="s">
        <v>31</v>
      </c>
      <c r="B44" s="162"/>
      <c r="C44" s="9">
        <f>SUM(C36:C43)</f>
        <v>0.35300000000000004</v>
      </c>
      <c r="D44" s="45">
        <f>SUM(D36:D43)</f>
        <v>951.86110363607054</v>
      </c>
    </row>
    <row r="46" spans="1:6">
      <c r="A46" s="171" t="s">
        <v>32</v>
      </c>
      <c r="B46" s="171"/>
      <c r="C46" s="171"/>
      <c r="D46" s="171"/>
    </row>
    <row r="48" spans="1:6">
      <c r="A48" s="10" t="s">
        <v>33</v>
      </c>
      <c r="B48" s="10" t="s">
        <v>34</v>
      </c>
      <c r="C48" s="147" t="s">
        <v>97</v>
      </c>
      <c r="D48" s="148"/>
      <c r="F48" s="22"/>
    </row>
    <row r="49" spans="1:6">
      <c r="A49" s="5" t="s">
        <v>9</v>
      </c>
      <c r="B49" s="124" t="s">
        <v>137</v>
      </c>
      <c r="C49" s="149">
        <f>(4.2*2*15)-(C18*6%)</f>
        <v>39.707400000000007</v>
      </c>
      <c r="D49" s="150"/>
      <c r="E49" s="34"/>
      <c r="F49" s="22"/>
    </row>
    <row r="50" spans="1:6">
      <c r="A50" s="5" t="s">
        <v>11</v>
      </c>
      <c r="B50" s="124" t="s">
        <v>268</v>
      </c>
      <c r="C50" s="149">
        <f>(23.12*15)*0.9</f>
        <v>312.12</v>
      </c>
      <c r="D50" s="150"/>
    </row>
    <row r="51" spans="1:6">
      <c r="A51" s="5" t="s">
        <v>12</v>
      </c>
      <c r="B51" s="6" t="s">
        <v>93</v>
      </c>
      <c r="C51" s="145">
        <f>3.8%*C20</f>
        <v>6.7818138818181826</v>
      </c>
      <c r="D51" s="146"/>
    </row>
    <row r="52" spans="1:6">
      <c r="A52" s="5" t="s">
        <v>13</v>
      </c>
      <c r="B52" s="6" t="s">
        <v>263</v>
      </c>
      <c r="C52" s="145">
        <v>5.6</v>
      </c>
      <c r="D52" s="146"/>
    </row>
    <row r="53" spans="1:6">
      <c r="A53" s="5" t="s">
        <v>14</v>
      </c>
      <c r="B53" s="6" t="s">
        <v>146</v>
      </c>
      <c r="C53" s="145">
        <v>97</v>
      </c>
      <c r="D53" s="146"/>
    </row>
    <row r="54" spans="1:6">
      <c r="A54" s="5" t="s">
        <v>15</v>
      </c>
      <c r="B54" s="6" t="s">
        <v>94</v>
      </c>
      <c r="C54" s="145">
        <v>1.5</v>
      </c>
      <c r="D54" s="146"/>
    </row>
    <row r="55" spans="1:6">
      <c r="A55" s="162" t="s">
        <v>0</v>
      </c>
      <c r="B55" s="162"/>
      <c r="C55" s="193">
        <f>SUM(C49:C54)</f>
        <v>462.70921388181824</v>
      </c>
      <c r="D55" s="194"/>
      <c r="E55" s="27"/>
    </row>
    <row r="57" spans="1:6" ht="20.399999999999999">
      <c r="A57" s="172" t="s">
        <v>35</v>
      </c>
      <c r="B57" s="172"/>
      <c r="C57" s="172"/>
      <c r="D57" s="172"/>
    </row>
    <row r="59" spans="1:6">
      <c r="A59" s="10">
        <v>2</v>
      </c>
      <c r="B59" s="10" t="s">
        <v>36</v>
      </c>
      <c r="C59" s="147" t="s">
        <v>97</v>
      </c>
      <c r="D59" s="148"/>
    </row>
    <row r="60" spans="1:6">
      <c r="A60" s="5" t="s">
        <v>20</v>
      </c>
      <c r="B60" s="6" t="s">
        <v>21</v>
      </c>
      <c r="C60" s="145">
        <f>D31</f>
        <v>438.87954587615707</v>
      </c>
      <c r="D60" s="146"/>
    </row>
    <row r="61" spans="1:6">
      <c r="A61" s="5" t="s">
        <v>23</v>
      </c>
      <c r="B61" s="6" t="s">
        <v>24</v>
      </c>
      <c r="C61" s="145">
        <f>D44</f>
        <v>951.86110363607054</v>
      </c>
      <c r="D61" s="146"/>
    </row>
    <row r="62" spans="1:6">
      <c r="A62" s="5" t="s">
        <v>33</v>
      </c>
      <c r="B62" s="6" t="s">
        <v>34</v>
      </c>
      <c r="C62" s="145">
        <f>C55</f>
        <v>462.70921388181824</v>
      </c>
      <c r="D62" s="146"/>
    </row>
    <row r="63" spans="1:6">
      <c r="A63" s="162" t="s">
        <v>0</v>
      </c>
      <c r="B63" s="162"/>
      <c r="C63" s="155">
        <f>SUM(C60:C62)</f>
        <v>1853.4498633940459</v>
      </c>
      <c r="D63" s="156"/>
    </row>
    <row r="64" spans="1:6">
      <c r="A64" s="1"/>
    </row>
    <row r="65" spans="1:5">
      <c r="A65" s="171" t="s">
        <v>37</v>
      </c>
      <c r="B65" s="171"/>
      <c r="C65" s="171"/>
      <c r="D65" s="171"/>
    </row>
    <row r="67" spans="1:5">
      <c r="A67" s="12">
        <v>3</v>
      </c>
      <c r="B67" s="12" t="s">
        <v>38</v>
      </c>
      <c r="C67" s="12" t="s">
        <v>70</v>
      </c>
      <c r="D67" s="12" t="str">
        <f>C59</f>
        <v>VALOR</v>
      </c>
    </row>
    <row r="68" spans="1:5">
      <c r="A68" s="5" t="s">
        <v>9</v>
      </c>
      <c r="B68" s="11" t="s">
        <v>39</v>
      </c>
      <c r="C68" s="70">
        <f>SUM((1/12)*0.05)</f>
        <v>4.1666666666666666E-3</v>
      </c>
      <c r="D68" s="35">
        <f>C68*($C$22+$C$94)</f>
        <v>10.368761873652428</v>
      </c>
    </row>
    <row r="69" spans="1:5">
      <c r="A69" s="5" t="s">
        <v>11</v>
      </c>
      <c r="B69" s="11" t="s">
        <v>40</v>
      </c>
      <c r="C69" s="70">
        <f>0.42%*8%</f>
        <v>3.3599999999999998E-4</v>
      </c>
      <c r="D69" s="35">
        <f>C69*($C$22+$C$94)</f>
        <v>0.83613695749133177</v>
      </c>
    </row>
    <row r="70" spans="1:5">
      <c r="A70" s="5" t="s">
        <v>12</v>
      </c>
      <c r="B70" s="11" t="s">
        <v>41</v>
      </c>
      <c r="C70" s="70">
        <v>1.1999999999999999E-3</v>
      </c>
      <c r="D70" s="35">
        <f>C70*($C$22)</f>
        <v>2.7091329992355373</v>
      </c>
    </row>
    <row r="71" spans="1:5">
      <c r="A71" s="5" t="s">
        <v>13</v>
      </c>
      <c r="B71" s="11" t="s">
        <v>42</v>
      </c>
      <c r="C71" s="70">
        <v>1.9400000000000001E-2</v>
      </c>
      <c r="D71" s="35">
        <f>C71*($C$22)</f>
        <v>43.79765015430786</v>
      </c>
      <c r="E71" s="25"/>
    </row>
    <row r="72" spans="1:5">
      <c r="A72" s="5" t="s">
        <v>14</v>
      </c>
      <c r="B72" s="11" t="s">
        <v>43</v>
      </c>
      <c r="C72" s="70">
        <f>C71*C44</f>
        <v>6.8482000000000013E-3</v>
      </c>
      <c r="D72" s="35">
        <f>C72*($C$22+$C$94)</f>
        <v>17.041765215155177</v>
      </c>
      <c r="E72" s="26"/>
    </row>
    <row r="73" spans="1:5">
      <c r="A73" s="5" t="s">
        <v>15</v>
      </c>
      <c r="B73" s="11" t="s">
        <v>44</v>
      </c>
      <c r="C73" s="70">
        <v>3.8800000000000001E-2</v>
      </c>
      <c r="D73" s="35">
        <f>C73*($C$22)</f>
        <v>87.59530030861572</v>
      </c>
    </row>
    <row r="74" spans="1:5">
      <c r="A74" s="162" t="s">
        <v>0</v>
      </c>
      <c r="B74" s="162"/>
      <c r="C74" s="9">
        <f>SUM(C68:C73)</f>
        <v>7.0750866666666662E-2</v>
      </c>
      <c r="D74" s="37">
        <f>SUM(D68:D73)</f>
        <v>162.34874750845808</v>
      </c>
    </row>
    <row r="76" spans="1:5">
      <c r="A76" s="171" t="s">
        <v>45</v>
      </c>
      <c r="B76" s="171"/>
      <c r="C76" s="171"/>
      <c r="D76" s="171"/>
    </row>
    <row r="78" spans="1:5">
      <c r="A78" s="173" t="s">
        <v>46</v>
      </c>
      <c r="B78" s="173"/>
      <c r="C78" s="173"/>
      <c r="D78" s="173"/>
    </row>
    <row r="79" spans="1:5">
      <c r="A79" s="2"/>
    </row>
    <row r="80" spans="1:5">
      <c r="A80" s="12" t="s">
        <v>47</v>
      </c>
      <c r="B80" s="12" t="s">
        <v>48</v>
      </c>
      <c r="C80" s="12" t="s">
        <v>71</v>
      </c>
      <c r="D80" s="12" t="str">
        <f>D67</f>
        <v>VALOR</v>
      </c>
    </row>
    <row r="81" spans="1:5">
      <c r="A81" s="5" t="s">
        <v>9</v>
      </c>
      <c r="B81" s="6" t="s">
        <v>90</v>
      </c>
      <c r="C81" s="70">
        <f>11.11%/12</f>
        <v>9.258333333333332E-3</v>
      </c>
      <c r="D81" s="36">
        <f>C81*($C$22)</f>
        <v>20.901713626046401</v>
      </c>
    </row>
    <row r="82" spans="1:5">
      <c r="A82" s="5" t="s">
        <v>11</v>
      </c>
      <c r="B82" s="6" t="s">
        <v>48</v>
      </c>
      <c r="C82" s="70">
        <v>2.8E-3</v>
      </c>
      <c r="D82" s="36">
        <f t="shared" ref="D82:D85" si="1">C82*($C$22)</f>
        <v>6.3213103315495873</v>
      </c>
    </row>
    <row r="83" spans="1:5">
      <c r="A83" s="5" t="s">
        <v>12</v>
      </c>
      <c r="B83" s="6" t="s">
        <v>49</v>
      </c>
      <c r="C83" s="72">
        <v>2.0000000000000001E-4</v>
      </c>
      <c r="D83" s="36">
        <f t="shared" si="1"/>
        <v>0.45152216653925625</v>
      </c>
    </row>
    <row r="84" spans="1:5">
      <c r="A84" s="5" t="s">
        <v>13</v>
      </c>
      <c r="B84" s="6" t="s">
        <v>50</v>
      </c>
      <c r="C84" s="72">
        <v>8.0000000000000004E-4</v>
      </c>
      <c r="D84" s="36">
        <f t="shared" si="1"/>
        <v>1.806088666157025</v>
      </c>
    </row>
    <row r="85" spans="1:5">
      <c r="A85" s="5" t="s">
        <v>14</v>
      </c>
      <c r="B85" s="6" t="s">
        <v>106</v>
      </c>
      <c r="C85" s="80">
        <v>2.9999999999999997E-4</v>
      </c>
      <c r="D85" s="36">
        <f t="shared" si="1"/>
        <v>0.67728324980888432</v>
      </c>
      <c r="E85" s="27"/>
    </row>
    <row r="86" spans="1:5">
      <c r="A86" s="5" t="s">
        <v>15</v>
      </c>
      <c r="B86" s="6" t="s">
        <v>87</v>
      </c>
      <c r="C86" s="80">
        <v>0</v>
      </c>
      <c r="D86" s="36">
        <f>C86*($C$22)</f>
        <v>0</v>
      </c>
      <c r="E86" s="28"/>
    </row>
    <row r="87" spans="1:5">
      <c r="A87" s="174" t="s">
        <v>31</v>
      </c>
      <c r="B87" s="174"/>
      <c r="C87" s="14">
        <f>SUM(C81:C86)</f>
        <v>1.3358333333333333E-2</v>
      </c>
      <c r="D87" s="38">
        <f>SUM(D81:D86)</f>
        <v>30.157918040101151</v>
      </c>
      <c r="E87" s="30"/>
    </row>
    <row r="89" spans="1:5">
      <c r="A89" s="173" t="s">
        <v>51</v>
      </c>
      <c r="B89" s="173"/>
      <c r="C89" s="173"/>
      <c r="D89" s="173"/>
    </row>
    <row r="90" spans="1:5">
      <c r="A90" s="2"/>
    </row>
    <row r="91" spans="1:5">
      <c r="A91" s="12" t="s">
        <v>52</v>
      </c>
      <c r="B91" s="12" t="s">
        <v>53</v>
      </c>
      <c r="C91" s="175" t="str">
        <f>D80</f>
        <v>VALOR</v>
      </c>
      <c r="D91" s="176"/>
    </row>
    <row r="92" spans="1:5">
      <c r="A92" s="5" t="s">
        <v>9</v>
      </c>
      <c r="B92" s="6" t="s">
        <v>67</v>
      </c>
      <c r="C92" s="145">
        <f>(C22)/220*1.5*15</f>
        <v>230.89201698030146</v>
      </c>
      <c r="D92" s="146"/>
    </row>
    <row r="93" spans="1:5" hidden="1">
      <c r="A93" s="5" t="s">
        <v>11</v>
      </c>
      <c r="B93" s="6" t="s">
        <v>146</v>
      </c>
      <c r="C93" s="145">
        <v>0</v>
      </c>
      <c r="D93" s="146"/>
    </row>
    <row r="94" spans="1:5">
      <c r="A94" s="174" t="s">
        <v>0</v>
      </c>
      <c r="B94" s="174"/>
      <c r="C94" s="153">
        <f>SUM(C92:D93)</f>
        <v>230.89201698030146</v>
      </c>
      <c r="D94" s="154"/>
    </row>
    <row r="96" spans="1:5" ht="20.399999999999999">
      <c r="A96" s="172" t="s">
        <v>54</v>
      </c>
      <c r="B96" s="172"/>
      <c r="C96" s="172"/>
      <c r="D96" s="172"/>
    </row>
    <row r="97" spans="1:15">
      <c r="A97" s="2"/>
    </row>
    <row r="98" spans="1:15">
      <c r="A98" s="10">
        <v>4</v>
      </c>
      <c r="B98" s="10" t="s">
        <v>55</v>
      </c>
      <c r="C98" s="147" t="str">
        <f>C91</f>
        <v>VALOR</v>
      </c>
      <c r="D98" s="148"/>
    </row>
    <row r="99" spans="1:15">
      <c r="A99" s="5" t="s">
        <v>47</v>
      </c>
      <c r="B99" s="6" t="s">
        <v>48</v>
      </c>
      <c r="C99" s="145">
        <f>D87</f>
        <v>30.157918040101151</v>
      </c>
      <c r="D99" s="146"/>
    </row>
    <row r="100" spans="1:15">
      <c r="A100" s="5" t="s">
        <v>52</v>
      </c>
      <c r="B100" s="6" t="s">
        <v>53</v>
      </c>
      <c r="C100" s="145">
        <f>C94</f>
        <v>230.89201698030146</v>
      </c>
      <c r="D100" s="146"/>
    </row>
    <row r="101" spans="1:15">
      <c r="A101" s="162" t="s">
        <v>0</v>
      </c>
      <c r="B101" s="162"/>
      <c r="C101" s="155">
        <f>SUM(C99:C100)</f>
        <v>261.04993502040259</v>
      </c>
      <c r="D101" s="156"/>
    </row>
    <row r="102" spans="1:15">
      <c r="C102" s="40"/>
    </row>
    <row r="103" spans="1:15">
      <c r="A103" s="171" t="s">
        <v>56</v>
      </c>
      <c r="B103" s="171"/>
      <c r="C103" s="171"/>
      <c r="D103" s="171"/>
    </row>
    <row r="105" spans="1:15">
      <c r="A105" s="4">
        <v>5</v>
      </c>
      <c r="B105" s="15" t="s">
        <v>4</v>
      </c>
      <c r="C105" s="147" t="str">
        <f>C98</f>
        <v>VALOR</v>
      </c>
      <c r="D105" s="148"/>
    </row>
    <row r="106" spans="1:15">
      <c r="A106" s="5" t="s">
        <v>9</v>
      </c>
      <c r="B106" s="6" t="s">
        <v>57</v>
      </c>
      <c r="C106" s="145">
        <f>Uniformes!H14</f>
        <v>13.416666666666668</v>
      </c>
      <c r="D106" s="146"/>
      <c r="O106" s="39"/>
    </row>
    <row r="107" spans="1:15">
      <c r="A107" s="5" t="s">
        <v>11</v>
      </c>
      <c r="B107" s="6" t="s">
        <v>58</v>
      </c>
      <c r="C107" s="157">
        <f>Uniformes!H32</f>
        <v>4.1333333333333337</v>
      </c>
      <c r="D107" s="158"/>
    </row>
    <row r="108" spans="1:15">
      <c r="A108" s="5" t="s">
        <v>12</v>
      </c>
      <c r="B108" s="6" t="s">
        <v>59</v>
      </c>
      <c r="C108" s="159"/>
      <c r="D108" s="160"/>
    </row>
    <row r="109" spans="1:15">
      <c r="A109" s="5" t="s">
        <v>13</v>
      </c>
      <c r="B109" s="6" t="s">
        <v>17</v>
      </c>
      <c r="C109" s="145"/>
      <c r="D109" s="146"/>
    </row>
    <row r="110" spans="1:15">
      <c r="A110" s="162" t="s">
        <v>31</v>
      </c>
      <c r="B110" s="162"/>
      <c r="C110" s="155">
        <f>SUM(C106:C109)</f>
        <v>17.55</v>
      </c>
      <c r="D110" s="156"/>
    </row>
    <row r="112" spans="1:15">
      <c r="A112" s="161" t="s">
        <v>60</v>
      </c>
      <c r="B112" s="161"/>
      <c r="C112" s="161"/>
      <c r="D112" s="161"/>
    </row>
    <row r="114" spans="1:7">
      <c r="A114" s="41">
        <v>6</v>
      </c>
      <c r="B114" s="16" t="s">
        <v>5</v>
      </c>
      <c r="C114" s="41" t="s">
        <v>25</v>
      </c>
      <c r="D114" s="10" t="s">
        <v>97</v>
      </c>
    </row>
    <row r="115" spans="1:7">
      <c r="A115" s="5" t="s">
        <v>9</v>
      </c>
      <c r="B115" s="6" t="s">
        <v>88</v>
      </c>
      <c r="C115" s="13">
        <v>6.7999999999999996E-3</v>
      </c>
      <c r="D115" s="35">
        <f>C115*C133</f>
        <v>30.953663774610479</v>
      </c>
      <c r="E115" s="29"/>
    </row>
    <row r="116" spans="1:7">
      <c r="A116" s="5" t="s">
        <v>11</v>
      </c>
      <c r="B116" s="6" t="s">
        <v>89</v>
      </c>
      <c r="C116" s="13">
        <v>7.0000000000000001E-3</v>
      </c>
      <c r="D116" s="35">
        <f>C116*(D115+C133)</f>
        <v>32.080741296756592</v>
      </c>
      <c r="E116" s="29"/>
      <c r="F116" s="46"/>
    </row>
    <row r="117" spans="1:7" ht="31.2">
      <c r="A117" s="4" t="s">
        <v>12</v>
      </c>
      <c r="B117" s="15" t="s">
        <v>267</v>
      </c>
      <c r="C117" s="73">
        <v>8.6499999999999994E-2</v>
      </c>
      <c r="D117" s="75">
        <f>D118+D119+D120+D121</f>
        <v>437.00195652899083</v>
      </c>
      <c r="E117" s="33"/>
      <c r="G117" s="26">
        <f>C115+'A PAÇO - DIU (3)'!C116</f>
        <v>7.2999999999999992E-3</v>
      </c>
    </row>
    <row r="118" spans="1:7" ht="31.2">
      <c r="A118" s="5"/>
      <c r="B118" s="6" t="s">
        <v>98</v>
      </c>
      <c r="C118" s="74">
        <v>6.4999999999999997E-3</v>
      </c>
      <c r="D118" s="36">
        <f>((D115+D116+C133)/0.9135)*C118</f>
        <v>32.838297311427056</v>
      </c>
      <c r="E118" s="47"/>
      <c r="G118" s="125">
        <f>G117/2</f>
        <v>3.6499999999999996E-3</v>
      </c>
    </row>
    <row r="119" spans="1:7" ht="31.2">
      <c r="A119" s="5"/>
      <c r="B119" s="6" t="s">
        <v>99</v>
      </c>
      <c r="C119" s="74">
        <v>0.03</v>
      </c>
      <c r="D119" s="36">
        <f>((D115+D116+C133)/0.9135)*C119</f>
        <v>151.56137220658641</v>
      </c>
      <c r="E119" s="47"/>
    </row>
    <row r="120" spans="1:7">
      <c r="A120" s="5"/>
      <c r="B120" s="6" t="s">
        <v>61</v>
      </c>
      <c r="C120" s="74"/>
      <c r="D120" s="51"/>
      <c r="E120" s="48"/>
    </row>
    <row r="121" spans="1:7" ht="31.2">
      <c r="A121" s="5"/>
      <c r="B121" s="6" t="s">
        <v>100</v>
      </c>
      <c r="C121" s="74">
        <v>0.05</v>
      </c>
      <c r="D121" s="36">
        <f>((D115+D116+C133)/0.9135)*C121</f>
        <v>252.60228701097736</v>
      </c>
      <c r="E121" s="48"/>
    </row>
    <row r="122" spans="1:7">
      <c r="A122" s="169" t="s">
        <v>31</v>
      </c>
      <c r="B122" s="169"/>
      <c r="C122" s="8">
        <f>C115+C116+C117</f>
        <v>0.1003</v>
      </c>
      <c r="D122" s="52">
        <f>D115+D116+D117</f>
        <v>500.03636160035791</v>
      </c>
      <c r="E122" s="31"/>
    </row>
    <row r="123" spans="1:7">
      <c r="A123" s="170" t="s">
        <v>72</v>
      </c>
      <c r="B123" s="53">
        <f>(1-(0.65%+3%+5%)/1)</f>
        <v>0.91349999999999998</v>
      </c>
      <c r="E123" s="32"/>
    </row>
    <row r="124" spans="1:7">
      <c r="A124" s="170"/>
      <c r="B124" s="54"/>
    </row>
    <row r="125" spans="1:7">
      <c r="A125" s="161" t="s">
        <v>62</v>
      </c>
      <c r="B125" s="161"/>
      <c r="C125" s="161"/>
      <c r="D125" s="161"/>
      <c r="E125" s="23"/>
      <c r="F125" s="22"/>
    </row>
    <row r="127" spans="1:7" ht="38.25" customHeight="1">
      <c r="A127" s="10"/>
      <c r="B127" s="10" t="s">
        <v>63</v>
      </c>
      <c r="C127" s="147" t="str">
        <f>D114</f>
        <v>VALOR</v>
      </c>
      <c r="D127" s="148"/>
    </row>
    <row r="128" spans="1:7">
      <c r="A128" s="4" t="s">
        <v>9</v>
      </c>
      <c r="B128" s="6" t="s">
        <v>7</v>
      </c>
      <c r="C128" s="163">
        <f>C22</f>
        <v>2257.6108326962812</v>
      </c>
      <c r="D128" s="164"/>
    </row>
    <row r="129" spans="1:6">
      <c r="A129" s="4" t="s">
        <v>11</v>
      </c>
      <c r="B129" s="6" t="s">
        <v>18</v>
      </c>
      <c r="C129" s="163">
        <f>C63</f>
        <v>1853.4498633940459</v>
      </c>
      <c r="D129" s="164"/>
    </row>
    <row r="130" spans="1:6">
      <c r="A130" s="4" t="s">
        <v>12</v>
      </c>
      <c r="B130" s="6" t="s">
        <v>37</v>
      </c>
      <c r="C130" s="163">
        <f>D74</f>
        <v>162.34874750845808</v>
      </c>
      <c r="D130" s="164"/>
    </row>
    <row r="131" spans="1:6">
      <c r="A131" s="4" t="s">
        <v>13</v>
      </c>
      <c r="B131" s="6" t="s">
        <v>45</v>
      </c>
      <c r="C131" s="163">
        <f>C101</f>
        <v>261.04993502040259</v>
      </c>
      <c r="D131" s="164"/>
    </row>
    <row r="132" spans="1:6">
      <c r="A132" s="4" t="s">
        <v>14</v>
      </c>
      <c r="B132" s="6" t="s">
        <v>56</v>
      </c>
      <c r="C132" s="163">
        <f>C110</f>
        <v>17.55</v>
      </c>
      <c r="D132" s="164"/>
    </row>
    <row r="133" spans="1:6" ht="16.2">
      <c r="A133" s="162" t="s">
        <v>64</v>
      </c>
      <c r="B133" s="162"/>
      <c r="C133" s="165">
        <f>SUM(C128:C132)</f>
        <v>4552.0093786191883</v>
      </c>
      <c r="D133" s="166"/>
      <c r="E133" s="23"/>
      <c r="F133" s="23"/>
    </row>
    <row r="134" spans="1:6">
      <c r="A134" s="4" t="s">
        <v>15</v>
      </c>
      <c r="B134" s="6" t="s">
        <v>65</v>
      </c>
      <c r="C134" s="167">
        <f>D115+D116+D117</f>
        <v>500.03636160035791</v>
      </c>
      <c r="D134" s="168"/>
    </row>
    <row r="135" spans="1:6">
      <c r="A135" s="162" t="s">
        <v>66</v>
      </c>
      <c r="B135" s="162"/>
      <c r="C135" s="155">
        <f>ROUND((C133+C134),2)</f>
        <v>5052.05</v>
      </c>
      <c r="D135" s="156"/>
      <c r="F135" s="3">
        <v>5052.25</v>
      </c>
    </row>
    <row r="136" spans="1:6">
      <c r="A136"/>
      <c r="B136"/>
      <c r="C136" s="24"/>
      <c r="D136"/>
      <c r="E136"/>
      <c r="F136" s="93">
        <f>C135-F135</f>
        <v>-0.1999999999998181</v>
      </c>
    </row>
    <row r="137" spans="1:6">
      <c r="D137" s="49"/>
    </row>
    <row r="138" spans="1:6">
      <c r="D138" s="50"/>
    </row>
    <row r="185" ht="1.8" customHeight="1"/>
    <row r="186" ht="7.2" hidden="1" customHeight="1"/>
  </sheetData>
  <mergeCells count="82">
    <mergeCell ref="A13:B13"/>
    <mergeCell ref="A1:D1"/>
    <mergeCell ref="A2:D2"/>
    <mergeCell ref="B3:D3"/>
    <mergeCell ref="B4:D4"/>
    <mergeCell ref="A6:D6"/>
    <mergeCell ref="C7:D7"/>
    <mergeCell ref="C8:D8"/>
    <mergeCell ref="C9:D9"/>
    <mergeCell ref="C10:D10"/>
    <mergeCell ref="A11:D11"/>
    <mergeCell ref="A12:B12"/>
    <mergeCell ref="A31:B31"/>
    <mergeCell ref="A14:D14"/>
    <mergeCell ref="A15:D15"/>
    <mergeCell ref="C17:D17"/>
    <mergeCell ref="C18:D18"/>
    <mergeCell ref="C19:D19"/>
    <mergeCell ref="C20:D20"/>
    <mergeCell ref="C21:D21"/>
    <mergeCell ref="A22:B22"/>
    <mergeCell ref="C22:D22"/>
    <mergeCell ref="A24:D24"/>
    <mergeCell ref="A26:D26"/>
    <mergeCell ref="A57:D57"/>
    <mergeCell ref="A33:D33"/>
    <mergeCell ref="A44:B44"/>
    <mergeCell ref="A46:D46"/>
    <mergeCell ref="C48:D48"/>
    <mergeCell ref="C49:D49"/>
    <mergeCell ref="C50:D50"/>
    <mergeCell ref="C51:D51"/>
    <mergeCell ref="C52:D52"/>
    <mergeCell ref="C54:D54"/>
    <mergeCell ref="A55:B55"/>
    <mergeCell ref="C55:D55"/>
    <mergeCell ref="C53:D53"/>
    <mergeCell ref="A89:D89"/>
    <mergeCell ref="C59:D59"/>
    <mergeCell ref="C60:D60"/>
    <mergeCell ref="C61:D61"/>
    <mergeCell ref="C62:D62"/>
    <mergeCell ref="A63:B63"/>
    <mergeCell ref="C63:D63"/>
    <mergeCell ref="A65:D65"/>
    <mergeCell ref="A74:B74"/>
    <mergeCell ref="A76:D76"/>
    <mergeCell ref="A78:D78"/>
    <mergeCell ref="A87:B87"/>
    <mergeCell ref="C105:D105"/>
    <mergeCell ref="C91:D91"/>
    <mergeCell ref="C92:D92"/>
    <mergeCell ref="A94:B94"/>
    <mergeCell ref="C94:D94"/>
    <mergeCell ref="A96:D96"/>
    <mergeCell ref="C98:D98"/>
    <mergeCell ref="C99:D99"/>
    <mergeCell ref="C100:D100"/>
    <mergeCell ref="A101:B101"/>
    <mergeCell ref="C101:D101"/>
    <mergeCell ref="A103:D103"/>
    <mergeCell ref="C93:D93"/>
    <mergeCell ref="C129:D129"/>
    <mergeCell ref="C106:D106"/>
    <mergeCell ref="C107:D108"/>
    <mergeCell ref="C109:D109"/>
    <mergeCell ref="A110:B110"/>
    <mergeCell ref="C110:D110"/>
    <mergeCell ref="A112:D112"/>
    <mergeCell ref="A122:B122"/>
    <mergeCell ref="A123:A124"/>
    <mergeCell ref="A125:D125"/>
    <mergeCell ref="C127:D127"/>
    <mergeCell ref="C128:D128"/>
    <mergeCell ref="A135:B135"/>
    <mergeCell ref="C135:D135"/>
    <mergeCell ref="C130:D130"/>
    <mergeCell ref="C131:D131"/>
    <mergeCell ref="C132:D132"/>
    <mergeCell ref="A133:B133"/>
    <mergeCell ref="C133:D133"/>
    <mergeCell ref="C134:D134"/>
  </mergeCells>
  <pageMargins left="0.51181102362204722" right="0.51181102362204722" top="1.1417322834645669" bottom="0.35433070866141736" header="0.31496062992125984" footer="0.31496062992125984"/>
  <pageSetup paperSize="9" scale="52" fitToHeight="0" orientation="portrait" r:id="rId1"/>
  <headerFooter>
    <oddHeader>&amp;L&amp;G</oddHeader>
    <oddFooter>&amp;C&amp;G</oddFooter>
  </headerFooter>
  <rowBreaks count="2" manualBreakCount="2">
    <brk id="44" max="4" man="1"/>
    <brk id="110" max="4"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F9A3-0461-4756-B0B5-BF4C2B09A71F}">
  <sheetPr>
    <tabColor rgb="FF00B050"/>
    <pageSetUpPr fitToPage="1"/>
  </sheetPr>
  <dimension ref="A1:O186"/>
  <sheetViews>
    <sheetView showGridLines="0" view="pageBreakPreview" topLeftCell="A111" zoomScale="85" zoomScaleNormal="100" zoomScaleSheetLayoutView="85" workbookViewId="0">
      <selection activeCell="F136" sqref="F136"/>
    </sheetView>
  </sheetViews>
  <sheetFormatPr defaultColWidth="9.109375" defaultRowHeight="15.6"/>
  <cols>
    <col min="1" max="1" width="13.5546875" style="3" customWidth="1"/>
    <col min="2" max="2" width="72.109375" style="3" customWidth="1"/>
    <col min="3" max="3" width="18.109375" style="3" customWidth="1"/>
    <col min="4" max="4" width="22.5546875" style="3" customWidth="1"/>
    <col min="5" max="5" width="17.109375" style="3" customWidth="1"/>
    <col min="6" max="6" width="15.109375" style="3" customWidth="1"/>
    <col min="7" max="7" width="17.88671875" style="3" customWidth="1"/>
    <col min="8" max="16384" width="9.109375" style="3"/>
  </cols>
  <sheetData>
    <row r="1" spans="1:8" s="1" customFormat="1" ht="102.6" customHeight="1">
      <c r="A1" s="187" t="s">
        <v>139</v>
      </c>
      <c r="B1" s="188"/>
      <c r="C1" s="188"/>
      <c r="D1" s="189"/>
      <c r="E1" s="92"/>
      <c r="F1" s="92"/>
      <c r="G1" s="92"/>
    </row>
    <row r="2" spans="1:8" ht="47.4" customHeight="1">
      <c r="A2" s="180" t="s">
        <v>266</v>
      </c>
      <c r="B2" s="181"/>
      <c r="C2" s="181"/>
      <c r="D2" s="181"/>
      <c r="E2"/>
    </row>
    <row r="3" spans="1:8">
      <c r="A3" s="18" t="s">
        <v>84</v>
      </c>
      <c r="B3" s="182" t="s">
        <v>140</v>
      </c>
      <c r="C3" s="182"/>
      <c r="D3" s="182"/>
      <c r="E3"/>
    </row>
    <row r="4" spans="1:8">
      <c r="A4" s="18" t="s">
        <v>73</v>
      </c>
      <c r="B4" s="182" t="s">
        <v>141</v>
      </c>
      <c r="C4" s="182"/>
      <c r="D4" s="182"/>
      <c r="E4"/>
      <c r="F4"/>
      <c r="G4"/>
      <c r="H4"/>
    </row>
    <row r="5" spans="1:8">
      <c r="A5" s="18" t="s">
        <v>74</v>
      </c>
      <c r="B5" s="89" t="s">
        <v>142</v>
      </c>
      <c r="C5" s="18" t="s">
        <v>85</v>
      </c>
      <c r="D5" s="57"/>
      <c r="E5"/>
      <c r="F5"/>
      <c r="G5"/>
      <c r="H5"/>
    </row>
    <row r="6" spans="1:8">
      <c r="A6" s="179" t="s">
        <v>75</v>
      </c>
      <c r="B6" s="179"/>
      <c r="C6" s="179"/>
      <c r="D6" s="179"/>
      <c r="E6"/>
      <c r="F6"/>
      <c r="G6"/>
      <c r="H6"/>
    </row>
    <row r="7" spans="1:8" ht="18" customHeight="1">
      <c r="A7" s="17" t="s">
        <v>9</v>
      </c>
      <c r="B7" s="20" t="s">
        <v>76</v>
      </c>
      <c r="C7" s="183">
        <v>45048</v>
      </c>
      <c r="D7" s="184"/>
      <c r="E7"/>
      <c r="F7"/>
      <c r="G7"/>
      <c r="H7"/>
    </row>
    <row r="8" spans="1:8" ht="18" customHeight="1">
      <c r="A8" s="17" t="s">
        <v>11</v>
      </c>
      <c r="B8" s="21" t="s">
        <v>77</v>
      </c>
      <c r="C8" s="184" t="s">
        <v>153</v>
      </c>
      <c r="D8" s="184"/>
      <c r="E8"/>
      <c r="F8"/>
      <c r="G8"/>
      <c r="H8"/>
    </row>
    <row r="9" spans="1:8" ht="18" customHeight="1">
      <c r="A9" s="17" t="s">
        <v>12</v>
      </c>
      <c r="B9" s="19" t="s">
        <v>78</v>
      </c>
      <c r="C9" s="184" t="s">
        <v>143</v>
      </c>
      <c r="D9" s="184"/>
      <c r="E9"/>
      <c r="F9"/>
      <c r="G9"/>
      <c r="H9"/>
    </row>
    <row r="10" spans="1:8" ht="18" customHeight="1">
      <c r="A10" s="17" t="s">
        <v>13</v>
      </c>
      <c r="B10" s="21" t="s">
        <v>79</v>
      </c>
      <c r="C10" s="184">
        <v>12</v>
      </c>
      <c r="D10" s="184"/>
      <c r="E10"/>
      <c r="F10"/>
      <c r="G10"/>
      <c r="H10"/>
    </row>
    <row r="11" spans="1:8">
      <c r="A11" s="179" t="s">
        <v>80</v>
      </c>
      <c r="B11" s="179"/>
      <c r="C11" s="179"/>
      <c r="D11" s="179"/>
      <c r="E11"/>
      <c r="F11"/>
      <c r="G11"/>
      <c r="H11"/>
    </row>
    <row r="12" spans="1:8" ht="48.6" customHeight="1">
      <c r="A12" s="179" t="s">
        <v>81</v>
      </c>
      <c r="B12" s="179"/>
      <c r="C12" s="42" t="s">
        <v>82</v>
      </c>
      <c r="D12" s="55" t="s">
        <v>83</v>
      </c>
      <c r="E12"/>
      <c r="F12"/>
      <c r="G12"/>
      <c r="H12"/>
    </row>
    <row r="13" spans="1:8" ht="30.75" customHeight="1">
      <c r="A13" s="185" t="s">
        <v>136</v>
      </c>
      <c r="B13" s="185"/>
      <c r="C13" s="43" t="s">
        <v>92</v>
      </c>
      <c r="D13" s="43">
        <v>1</v>
      </c>
      <c r="E13"/>
      <c r="F13"/>
      <c r="G13"/>
      <c r="H13"/>
    </row>
    <row r="14" spans="1:8">
      <c r="A14" s="186"/>
      <c r="B14" s="186"/>
      <c r="C14" s="186"/>
      <c r="D14" s="186"/>
    </row>
    <row r="15" spans="1:8">
      <c r="A15" s="171" t="s">
        <v>101</v>
      </c>
      <c r="B15" s="171"/>
      <c r="C15" s="171"/>
      <c r="D15" s="171"/>
    </row>
    <row r="16" spans="1:8" ht="3.75" customHeight="1"/>
    <row r="17" spans="1:6" ht="38.25" customHeight="1">
      <c r="A17" s="10">
        <v>1</v>
      </c>
      <c r="B17" s="10" t="s">
        <v>8</v>
      </c>
      <c r="C17" s="147" t="s">
        <v>97</v>
      </c>
      <c r="D17" s="148"/>
    </row>
    <row r="18" spans="1:6">
      <c r="A18" s="5" t="s">
        <v>9</v>
      </c>
      <c r="B18" s="6" t="s">
        <v>10</v>
      </c>
      <c r="C18" s="145">
        <v>1438.21</v>
      </c>
      <c r="D18" s="146"/>
    </row>
    <row r="19" spans="1:6">
      <c r="A19" s="5" t="s">
        <v>11</v>
      </c>
      <c r="B19" s="6" t="s">
        <v>132</v>
      </c>
      <c r="C19" s="145">
        <f>C18*30/100</f>
        <v>431.46300000000002</v>
      </c>
      <c r="D19" s="146"/>
    </row>
    <row r="20" spans="1:6">
      <c r="A20" s="5" t="s">
        <v>12</v>
      </c>
      <c r="B20" s="6" t="s">
        <v>95</v>
      </c>
      <c r="C20" s="145">
        <f>(C18+C19)/220*0.2*15*7*0</f>
        <v>0</v>
      </c>
      <c r="D20" s="146"/>
    </row>
    <row r="21" spans="1:6">
      <c r="A21" s="5" t="s">
        <v>13</v>
      </c>
      <c r="B21" s="6" t="s">
        <v>96</v>
      </c>
      <c r="C21" s="145">
        <f>(C18+C19+C20)/220*1.5*15*0</f>
        <v>0</v>
      </c>
      <c r="D21" s="146"/>
    </row>
    <row r="22" spans="1:6">
      <c r="A22" s="162" t="s">
        <v>0</v>
      </c>
      <c r="B22" s="162"/>
      <c r="C22" s="190">
        <f>SUM(C18:D21)</f>
        <v>1869.673</v>
      </c>
      <c r="D22" s="191"/>
    </row>
    <row r="24" spans="1:6" ht="32.25" customHeight="1">
      <c r="A24" s="171" t="s">
        <v>18</v>
      </c>
      <c r="B24" s="171"/>
      <c r="C24" s="171"/>
      <c r="D24" s="171"/>
    </row>
    <row r="25" spans="1:6" ht="4.5" customHeight="1">
      <c r="A25" s="2"/>
    </row>
    <row r="26" spans="1:6">
      <c r="A26" s="173" t="s">
        <v>19</v>
      </c>
      <c r="B26" s="173"/>
      <c r="C26" s="173"/>
      <c r="D26" s="173"/>
    </row>
    <row r="27" spans="1:6" ht="2.25" customHeight="1"/>
    <row r="28" spans="1:6">
      <c r="A28" s="10" t="s">
        <v>20</v>
      </c>
      <c r="B28" s="10" t="s">
        <v>21</v>
      </c>
      <c r="C28" s="10" t="s">
        <v>25</v>
      </c>
      <c r="D28" s="10" t="s">
        <v>97</v>
      </c>
      <c r="F28" s="23"/>
    </row>
    <row r="29" spans="1:6">
      <c r="A29" s="5" t="s">
        <v>9</v>
      </c>
      <c r="B29" s="6" t="s">
        <v>144</v>
      </c>
      <c r="C29" s="7">
        <v>8.3299999999999999E-2</v>
      </c>
      <c r="D29" s="36">
        <f>C29*($C$22)</f>
        <v>155.74376090000001</v>
      </c>
    </row>
    <row r="30" spans="1:6">
      <c r="A30" s="5" t="s">
        <v>11</v>
      </c>
      <c r="B30" s="6" t="s">
        <v>145</v>
      </c>
      <c r="C30" s="7">
        <v>0.1111</v>
      </c>
      <c r="D30" s="36">
        <f>C30*($C$22)</f>
        <v>207.72067029999999</v>
      </c>
      <c r="E30" s="44"/>
    </row>
    <row r="31" spans="1:6">
      <c r="A31" s="162" t="s">
        <v>0</v>
      </c>
      <c r="B31" s="162"/>
      <c r="C31" s="8">
        <f>SUM(C29:C30)</f>
        <v>0.19440000000000002</v>
      </c>
      <c r="D31" s="37">
        <f>SUM(D29:D30)</f>
        <v>363.46443120000004</v>
      </c>
    </row>
    <row r="33" spans="1:6">
      <c r="A33" s="192" t="s">
        <v>22</v>
      </c>
      <c r="B33" s="192"/>
      <c r="C33" s="192"/>
      <c r="D33" s="192"/>
    </row>
    <row r="34" spans="1:6" ht="3" customHeight="1"/>
    <row r="35" spans="1:6">
      <c r="A35" s="10" t="s">
        <v>23</v>
      </c>
      <c r="B35" s="10" t="s">
        <v>24</v>
      </c>
      <c r="C35" s="10" t="s">
        <v>25</v>
      </c>
      <c r="D35" s="10" t="s">
        <v>97</v>
      </c>
    </row>
    <row r="36" spans="1:6">
      <c r="A36" s="5" t="s">
        <v>9</v>
      </c>
      <c r="B36" s="6" t="s">
        <v>26</v>
      </c>
      <c r="C36" s="70">
        <v>0.2</v>
      </c>
      <c r="D36" s="35">
        <f>C36*($C$22+$D$31)</f>
        <v>446.62748624</v>
      </c>
    </row>
    <row r="37" spans="1:6">
      <c r="A37" s="5" t="s">
        <v>11</v>
      </c>
      <c r="B37" s="6" t="s">
        <v>27</v>
      </c>
      <c r="C37" s="70">
        <v>2.5000000000000001E-2</v>
      </c>
      <c r="D37" s="35">
        <f t="shared" ref="D37:D43" si="0">C37*($C$22+$D$31)</f>
        <v>55.82843578</v>
      </c>
    </row>
    <row r="38" spans="1:6">
      <c r="A38" s="5" t="s">
        <v>12</v>
      </c>
      <c r="B38" s="6" t="s">
        <v>86</v>
      </c>
      <c r="C38" s="71">
        <v>1.4999999999999999E-2</v>
      </c>
      <c r="D38" s="35">
        <f t="shared" si="0"/>
        <v>33.497061467999998</v>
      </c>
    </row>
    <row r="39" spans="1:6">
      <c r="A39" s="5" t="s">
        <v>13</v>
      </c>
      <c r="B39" s="6" t="s">
        <v>28</v>
      </c>
      <c r="C39" s="70">
        <v>1.4999999999999999E-2</v>
      </c>
      <c r="D39" s="35">
        <f t="shared" si="0"/>
        <v>33.497061467999998</v>
      </c>
    </row>
    <row r="40" spans="1:6">
      <c r="A40" s="5" t="s">
        <v>14</v>
      </c>
      <c r="B40" s="6" t="s">
        <v>29</v>
      </c>
      <c r="C40" s="70">
        <v>0.01</v>
      </c>
      <c r="D40" s="35">
        <f t="shared" si="0"/>
        <v>22.331374311999998</v>
      </c>
    </row>
    <row r="41" spans="1:6">
      <c r="A41" s="5" t="s">
        <v>15</v>
      </c>
      <c r="B41" s="6" t="s">
        <v>1</v>
      </c>
      <c r="C41" s="70">
        <v>6.0000000000000001E-3</v>
      </c>
      <c r="D41" s="35">
        <f t="shared" si="0"/>
        <v>13.3988245872</v>
      </c>
    </row>
    <row r="42" spans="1:6">
      <c r="A42" s="5" t="s">
        <v>16</v>
      </c>
      <c r="B42" s="6" t="s">
        <v>2</v>
      </c>
      <c r="C42" s="70">
        <v>2E-3</v>
      </c>
      <c r="D42" s="35">
        <f t="shared" si="0"/>
        <v>4.4662748623999997</v>
      </c>
    </row>
    <row r="43" spans="1:6">
      <c r="A43" s="5" t="s">
        <v>30</v>
      </c>
      <c r="B43" s="6" t="s">
        <v>3</v>
      </c>
      <c r="C43" s="70">
        <v>0.08</v>
      </c>
      <c r="D43" s="35">
        <f t="shared" si="0"/>
        <v>178.65099449599998</v>
      </c>
    </row>
    <row r="44" spans="1:6">
      <c r="A44" s="162" t="s">
        <v>31</v>
      </c>
      <c r="B44" s="162"/>
      <c r="C44" s="9">
        <f>SUM(C36:C43)</f>
        <v>0.35300000000000004</v>
      </c>
      <c r="D44" s="45">
        <f>SUM(D36:D43)</f>
        <v>788.29751321359993</v>
      </c>
    </row>
    <row r="46" spans="1:6">
      <c r="A46" s="171" t="s">
        <v>32</v>
      </c>
      <c r="B46" s="171"/>
      <c r="C46" s="171"/>
      <c r="D46" s="171"/>
    </row>
    <row r="47" spans="1:6" ht="3" customHeight="1"/>
    <row r="48" spans="1:6" ht="42" customHeight="1">
      <c r="A48" s="10" t="s">
        <v>33</v>
      </c>
      <c r="B48" s="10" t="s">
        <v>34</v>
      </c>
      <c r="C48" s="147" t="s">
        <v>97</v>
      </c>
      <c r="D48" s="148"/>
      <c r="F48" s="22"/>
    </row>
    <row r="49" spans="1:6">
      <c r="A49" s="5" t="s">
        <v>9</v>
      </c>
      <c r="B49" s="6" t="s">
        <v>137</v>
      </c>
      <c r="C49" s="145">
        <f>(4.2*2*15)-(C18*6%)</f>
        <v>39.707400000000007</v>
      </c>
      <c r="D49" s="146"/>
      <c r="E49" s="34"/>
      <c r="F49" s="22"/>
    </row>
    <row r="50" spans="1:6">
      <c r="A50" s="5" t="s">
        <v>11</v>
      </c>
      <c r="B50" s="124" t="s">
        <v>268</v>
      </c>
      <c r="C50" s="149">
        <f>(23.12*15)*0.9</f>
        <v>312.12</v>
      </c>
      <c r="D50" s="150"/>
    </row>
    <row r="51" spans="1:6">
      <c r="A51" s="5" t="s">
        <v>12</v>
      </c>
      <c r="B51" s="6" t="s">
        <v>93</v>
      </c>
      <c r="C51" s="145">
        <f>3.8%*C18</f>
        <v>54.651980000000002</v>
      </c>
      <c r="D51" s="146"/>
    </row>
    <row r="52" spans="1:6">
      <c r="A52" s="5" t="s">
        <v>13</v>
      </c>
      <c r="B52" s="6" t="s">
        <v>263</v>
      </c>
      <c r="C52" s="145">
        <v>5.6</v>
      </c>
      <c r="D52" s="146"/>
    </row>
    <row r="53" spans="1:6">
      <c r="A53" s="5" t="s">
        <v>14</v>
      </c>
      <c r="B53" s="6" t="s">
        <v>146</v>
      </c>
      <c r="C53" s="145">
        <v>97</v>
      </c>
      <c r="D53" s="146"/>
    </row>
    <row r="54" spans="1:6">
      <c r="A54" s="5" t="s">
        <v>15</v>
      </c>
      <c r="B54" s="6" t="s">
        <v>94</v>
      </c>
      <c r="C54" s="145">
        <v>1.5</v>
      </c>
      <c r="D54" s="146"/>
    </row>
    <row r="55" spans="1:6">
      <c r="A55" s="162" t="s">
        <v>0</v>
      </c>
      <c r="B55" s="162"/>
      <c r="C55" s="151">
        <f>SUM(C49:C54)</f>
        <v>510.57938000000001</v>
      </c>
      <c r="D55" s="152"/>
      <c r="E55" s="27"/>
    </row>
    <row r="57" spans="1:6" ht="27.75" customHeight="1">
      <c r="A57" s="172" t="s">
        <v>35</v>
      </c>
      <c r="B57" s="172"/>
      <c r="C57" s="172"/>
      <c r="D57" s="172"/>
    </row>
    <row r="58" spans="1:6" ht="3" customHeight="1"/>
    <row r="59" spans="1:6">
      <c r="A59" s="10">
        <v>2</v>
      </c>
      <c r="B59" s="10" t="s">
        <v>36</v>
      </c>
      <c r="C59" s="147" t="str">
        <f>C48</f>
        <v>VALOR</v>
      </c>
      <c r="D59" s="148"/>
    </row>
    <row r="60" spans="1:6">
      <c r="A60" s="5" t="s">
        <v>20</v>
      </c>
      <c r="B60" s="6" t="s">
        <v>21</v>
      </c>
      <c r="C60" s="145">
        <f>D31</f>
        <v>363.46443120000004</v>
      </c>
      <c r="D60" s="146"/>
    </row>
    <row r="61" spans="1:6">
      <c r="A61" s="5" t="s">
        <v>23</v>
      </c>
      <c r="B61" s="6" t="s">
        <v>24</v>
      </c>
      <c r="C61" s="145">
        <f>D44</f>
        <v>788.29751321359993</v>
      </c>
      <c r="D61" s="146"/>
    </row>
    <row r="62" spans="1:6">
      <c r="A62" s="5" t="s">
        <v>33</v>
      </c>
      <c r="B62" s="6" t="s">
        <v>34</v>
      </c>
      <c r="C62" s="145">
        <f>C55</f>
        <v>510.57938000000001</v>
      </c>
      <c r="D62" s="146"/>
    </row>
    <row r="63" spans="1:6">
      <c r="A63" s="162" t="s">
        <v>0</v>
      </c>
      <c r="B63" s="162"/>
      <c r="C63" s="155">
        <f>SUM(C60:C62)</f>
        <v>1662.3413244136</v>
      </c>
      <c r="D63" s="156"/>
    </row>
    <row r="64" spans="1:6">
      <c r="A64" s="1"/>
    </row>
    <row r="65" spans="1:5">
      <c r="A65" s="171" t="s">
        <v>37</v>
      </c>
      <c r="B65" s="171"/>
      <c r="C65" s="171"/>
      <c r="D65" s="171"/>
    </row>
    <row r="66" spans="1:5" ht="3.75" customHeight="1"/>
    <row r="67" spans="1:5">
      <c r="A67" s="12">
        <v>3</v>
      </c>
      <c r="B67" s="12" t="s">
        <v>38</v>
      </c>
      <c r="C67" s="12" t="s">
        <v>70</v>
      </c>
      <c r="D67" s="12" t="str">
        <f>C59</f>
        <v>VALOR</v>
      </c>
    </row>
    <row r="68" spans="1:5">
      <c r="A68" s="5" t="s">
        <v>9</v>
      </c>
      <c r="B68" s="11" t="s">
        <v>39</v>
      </c>
      <c r="C68" s="70">
        <f>SUM((1/12)*0.05)</f>
        <v>4.1666666666666666E-3</v>
      </c>
      <c r="D68" s="35">
        <f t="shared" ref="D68:D73" si="1">C68*($C$22)</f>
        <v>7.7903041666666661</v>
      </c>
    </row>
    <row r="69" spans="1:5">
      <c r="A69" s="5" t="s">
        <v>11</v>
      </c>
      <c r="B69" s="11" t="s">
        <v>40</v>
      </c>
      <c r="C69" s="70">
        <f>0.42%*8%</f>
        <v>3.3599999999999998E-4</v>
      </c>
      <c r="D69" s="35">
        <f t="shared" si="1"/>
        <v>0.62821012799999998</v>
      </c>
    </row>
    <row r="70" spans="1:5" ht="19.5" customHeight="1">
      <c r="A70" s="5" t="s">
        <v>12</v>
      </c>
      <c r="B70" s="11" t="s">
        <v>41</v>
      </c>
      <c r="C70" s="70">
        <v>1.1999999999999999E-3</v>
      </c>
      <c r="D70" s="35">
        <f t="shared" si="1"/>
        <v>2.2436075999999998</v>
      </c>
    </row>
    <row r="71" spans="1:5">
      <c r="A71" s="5" t="s">
        <v>13</v>
      </c>
      <c r="B71" s="11" t="s">
        <v>42</v>
      </c>
      <c r="C71" s="70">
        <v>1.9400000000000001E-2</v>
      </c>
      <c r="D71" s="35">
        <f t="shared" si="1"/>
        <v>36.271656200000002</v>
      </c>
      <c r="E71" s="25"/>
    </row>
    <row r="72" spans="1:5">
      <c r="A72" s="5" t="s">
        <v>14</v>
      </c>
      <c r="B72" s="11" t="s">
        <v>43</v>
      </c>
      <c r="C72" s="70">
        <f>C71*C44</f>
        <v>6.8482000000000013E-3</v>
      </c>
      <c r="D72" s="35">
        <f t="shared" si="1"/>
        <v>12.803894638600003</v>
      </c>
      <c r="E72" s="26"/>
    </row>
    <row r="73" spans="1:5">
      <c r="A73" s="5" t="s">
        <v>15</v>
      </c>
      <c r="B73" s="11" t="s">
        <v>44</v>
      </c>
      <c r="C73" s="70">
        <v>3.8800000000000001E-2</v>
      </c>
      <c r="D73" s="35">
        <f t="shared" si="1"/>
        <v>72.543312400000005</v>
      </c>
    </row>
    <row r="74" spans="1:5">
      <c r="A74" s="162" t="s">
        <v>0</v>
      </c>
      <c r="B74" s="162"/>
      <c r="C74" s="9">
        <f>SUM(C68:C73)</f>
        <v>7.0750866666666662E-2</v>
      </c>
      <c r="D74" s="37">
        <f>SUM(D68:D73)</f>
        <v>132.28098513326665</v>
      </c>
    </row>
    <row r="76" spans="1:5">
      <c r="A76" s="171" t="s">
        <v>45</v>
      </c>
      <c r="B76" s="171"/>
      <c r="C76" s="171"/>
      <c r="D76" s="171"/>
    </row>
    <row r="77" spans="1:5" ht="3" customHeight="1"/>
    <row r="78" spans="1:5">
      <c r="A78" s="173" t="s">
        <v>46</v>
      </c>
      <c r="B78" s="173"/>
      <c r="C78" s="173"/>
      <c r="D78" s="173"/>
    </row>
    <row r="79" spans="1:5" ht="3" customHeight="1">
      <c r="A79" s="2"/>
    </row>
    <row r="80" spans="1:5">
      <c r="A80" s="12" t="s">
        <v>47</v>
      </c>
      <c r="B80" s="12" t="s">
        <v>48</v>
      </c>
      <c r="C80" s="12" t="s">
        <v>71</v>
      </c>
      <c r="D80" s="12" t="str">
        <f>D67</f>
        <v>VALOR</v>
      </c>
      <c r="E80" s="93"/>
    </row>
    <row r="81" spans="1:5">
      <c r="A81" s="5" t="s">
        <v>9</v>
      </c>
      <c r="B81" s="6" t="s">
        <v>90</v>
      </c>
      <c r="C81" s="70">
        <f>11.11%/12</f>
        <v>9.258333333333332E-3</v>
      </c>
      <c r="D81" s="36">
        <f>C81*($C$22)</f>
        <v>17.310055858333332</v>
      </c>
      <c r="E81" s="93"/>
    </row>
    <row r="82" spans="1:5">
      <c r="A82" s="5" t="s">
        <v>11</v>
      </c>
      <c r="B82" s="6" t="s">
        <v>48</v>
      </c>
      <c r="C82" s="70">
        <v>2.8E-3</v>
      </c>
      <c r="D82" s="36">
        <f t="shared" ref="D82:D85" si="2">C82*($C$22)</f>
        <v>5.2350843999999999</v>
      </c>
    </row>
    <row r="83" spans="1:5">
      <c r="A83" s="5" t="s">
        <v>12</v>
      </c>
      <c r="B83" s="6" t="s">
        <v>49</v>
      </c>
      <c r="C83" s="72">
        <v>2.0000000000000001E-4</v>
      </c>
      <c r="D83" s="36">
        <f t="shared" si="2"/>
        <v>0.37393460000000001</v>
      </c>
    </row>
    <row r="84" spans="1:5">
      <c r="A84" s="5" t="s">
        <v>13</v>
      </c>
      <c r="B84" s="6" t="s">
        <v>50</v>
      </c>
      <c r="C84" s="72">
        <v>8.0000000000000004E-4</v>
      </c>
      <c r="D84" s="36">
        <f t="shared" si="2"/>
        <v>1.4957384</v>
      </c>
    </row>
    <row r="85" spans="1:5">
      <c r="A85" s="5" t="s">
        <v>14</v>
      </c>
      <c r="B85" s="6" t="s">
        <v>138</v>
      </c>
      <c r="C85" s="80">
        <v>2.9999999999999997E-4</v>
      </c>
      <c r="D85" s="36">
        <f t="shared" si="2"/>
        <v>0.56090189999999995</v>
      </c>
      <c r="E85" s="27"/>
    </row>
    <row r="86" spans="1:5">
      <c r="A86" s="5" t="s">
        <v>15</v>
      </c>
      <c r="B86" s="6" t="s">
        <v>87</v>
      </c>
      <c r="C86" s="80">
        <v>0</v>
      </c>
      <c r="D86" s="36">
        <f>C86*($C$22)</f>
        <v>0</v>
      </c>
      <c r="E86" s="28"/>
    </row>
    <row r="87" spans="1:5" ht="21.75" customHeight="1">
      <c r="A87" s="174" t="s">
        <v>31</v>
      </c>
      <c r="B87" s="174"/>
      <c r="C87" s="14">
        <f>SUM(C81:C86)</f>
        <v>1.3358333333333333E-2</v>
      </c>
      <c r="D87" s="38">
        <f>SUM(D81:D86)</f>
        <v>24.975715158333333</v>
      </c>
      <c r="E87" s="30"/>
    </row>
    <row r="89" spans="1:5">
      <c r="A89" s="173" t="s">
        <v>51</v>
      </c>
      <c r="B89" s="173"/>
      <c r="C89" s="173"/>
      <c r="D89" s="173"/>
    </row>
    <row r="90" spans="1:5" ht="3" customHeight="1">
      <c r="A90" s="2"/>
    </row>
    <row r="91" spans="1:5">
      <c r="A91" s="12" t="s">
        <v>52</v>
      </c>
      <c r="B91" s="12" t="s">
        <v>53</v>
      </c>
      <c r="C91" s="175" t="str">
        <f>D80</f>
        <v>VALOR</v>
      </c>
      <c r="D91" s="176"/>
    </row>
    <row r="92" spans="1:5">
      <c r="A92" s="5" t="s">
        <v>9</v>
      </c>
      <c r="B92" s="6" t="s">
        <v>67</v>
      </c>
      <c r="C92" s="145">
        <f>(C18+C19)/220*1.5*15</f>
        <v>191.21655681818183</v>
      </c>
      <c r="D92" s="146"/>
    </row>
    <row r="93" spans="1:5" hidden="1">
      <c r="A93" s="5" t="s">
        <v>11</v>
      </c>
      <c r="B93" s="6" t="s">
        <v>146</v>
      </c>
      <c r="C93" s="145">
        <v>0</v>
      </c>
      <c r="D93" s="146"/>
    </row>
    <row r="94" spans="1:5">
      <c r="A94" s="174" t="s">
        <v>0</v>
      </c>
      <c r="B94" s="174"/>
      <c r="C94" s="153">
        <f>SUM(C92:D93)</f>
        <v>191.21655681818183</v>
      </c>
      <c r="D94" s="154"/>
    </row>
    <row r="96" spans="1:5" ht="20.399999999999999">
      <c r="A96" s="172" t="s">
        <v>54</v>
      </c>
      <c r="B96" s="172"/>
      <c r="C96" s="172"/>
      <c r="D96" s="172"/>
    </row>
    <row r="97" spans="1:15" ht="4.5" customHeight="1">
      <c r="A97" s="2"/>
    </row>
    <row r="98" spans="1:15">
      <c r="A98" s="10">
        <v>4</v>
      </c>
      <c r="B98" s="10" t="s">
        <v>55</v>
      </c>
      <c r="C98" s="147" t="str">
        <f>C91</f>
        <v>VALOR</v>
      </c>
      <c r="D98" s="148"/>
    </row>
    <row r="99" spans="1:15">
      <c r="A99" s="5" t="s">
        <v>47</v>
      </c>
      <c r="B99" s="6" t="s">
        <v>48</v>
      </c>
      <c r="C99" s="145">
        <f>D87</f>
        <v>24.975715158333333</v>
      </c>
      <c r="D99" s="146"/>
    </row>
    <row r="100" spans="1:15">
      <c r="A100" s="5" t="s">
        <v>52</v>
      </c>
      <c r="B100" s="6" t="s">
        <v>53</v>
      </c>
      <c r="C100" s="145">
        <f>C94</f>
        <v>191.21655681818183</v>
      </c>
      <c r="D100" s="146"/>
    </row>
    <row r="101" spans="1:15">
      <c r="A101" s="162" t="s">
        <v>0</v>
      </c>
      <c r="B101" s="162"/>
      <c r="C101" s="177">
        <f>SUM(C99:D100)</f>
        <v>216.19227197651517</v>
      </c>
      <c r="D101" s="178"/>
    </row>
    <row r="102" spans="1:15">
      <c r="C102" s="40"/>
    </row>
    <row r="103" spans="1:15">
      <c r="A103" s="171" t="s">
        <v>56</v>
      </c>
      <c r="B103" s="171"/>
      <c r="C103" s="171"/>
    </row>
    <row r="104" spans="1:15" ht="3" customHeight="1"/>
    <row r="105" spans="1:15">
      <c r="A105" s="4">
        <v>5</v>
      </c>
      <c r="B105" s="15" t="s">
        <v>4</v>
      </c>
      <c r="C105" s="147" t="str">
        <f>C98</f>
        <v>VALOR</v>
      </c>
      <c r="D105" s="148"/>
    </row>
    <row r="106" spans="1:15">
      <c r="A106" s="5" t="s">
        <v>9</v>
      </c>
      <c r="B106" s="6" t="s">
        <v>57</v>
      </c>
      <c r="C106" s="145">
        <f>Uniformes!H14</f>
        <v>13.416666666666668</v>
      </c>
      <c r="D106" s="146"/>
      <c r="O106" s="39"/>
    </row>
    <row r="107" spans="1:15">
      <c r="A107" s="5" t="s">
        <v>11</v>
      </c>
      <c r="B107" s="6" t="s">
        <v>58</v>
      </c>
      <c r="C107" s="157">
        <f>Uniformes!H32</f>
        <v>4.1333333333333337</v>
      </c>
      <c r="D107" s="158"/>
    </row>
    <row r="108" spans="1:15">
      <c r="A108" s="5" t="s">
        <v>12</v>
      </c>
      <c r="B108" s="6" t="s">
        <v>59</v>
      </c>
      <c r="C108" s="159"/>
      <c r="D108" s="160"/>
    </row>
    <row r="109" spans="1:15">
      <c r="A109" s="5" t="s">
        <v>13</v>
      </c>
      <c r="B109" s="6" t="s">
        <v>17</v>
      </c>
      <c r="C109" s="145"/>
      <c r="D109" s="146"/>
    </row>
    <row r="110" spans="1:15">
      <c r="A110" s="162" t="s">
        <v>31</v>
      </c>
      <c r="B110" s="162"/>
      <c r="C110" s="155">
        <f>SUM(C106:D109)</f>
        <v>17.55</v>
      </c>
      <c r="D110" s="156"/>
    </row>
    <row r="112" spans="1:15">
      <c r="A112" s="161" t="s">
        <v>60</v>
      </c>
      <c r="B112" s="161"/>
      <c r="C112" s="161"/>
      <c r="D112" s="161"/>
    </row>
    <row r="113" spans="1:6" ht="3" customHeight="1"/>
    <row r="114" spans="1:6">
      <c r="A114" s="41">
        <v>6</v>
      </c>
      <c r="B114" s="16" t="s">
        <v>5</v>
      </c>
      <c r="C114" s="41" t="s">
        <v>25</v>
      </c>
      <c r="D114" s="10" t="s">
        <v>97</v>
      </c>
    </row>
    <row r="115" spans="1:6">
      <c r="A115" s="5" t="s">
        <v>9</v>
      </c>
      <c r="B115" s="6" t="s">
        <v>88</v>
      </c>
      <c r="C115" s="13">
        <v>5.0000000000000001E-4</v>
      </c>
      <c r="D115" s="35">
        <f>C115*C133</f>
        <v>1.9490187907616909</v>
      </c>
      <c r="E115" s="29"/>
    </row>
    <row r="116" spans="1:6">
      <c r="A116" s="5" t="s">
        <v>11</v>
      </c>
      <c r="B116" s="6" t="s">
        <v>89</v>
      </c>
      <c r="C116" s="13">
        <v>5.0000000000000001E-4</v>
      </c>
      <c r="D116" s="35">
        <f>C116*(D115+C133)</f>
        <v>1.949993300157072</v>
      </c>
      <c r="E116" s="29"/>
      <c r="F116" s="46"/>
    </row>
    <row r="117" spans="1:6" ht="31.2">
      <c r="A117" s="4" t="s">
        <v>12</v>
      </c>
      <c r="B117" s="15" t="s">
        <v>267</v>
      </c>
      <c r="C117" s="73">
        <v>8.6499999999999994E-2</v>
      </c>
      <c r="D117" s="75">
        <f>D118+D119+D120+D121</f>
        <v>369.47730196785659</v>
      </c>
      <c r="E117" s="33"/>
    </row>
    <row r="118" spans="1:6" ht="31.2">
      <c r="A118" s="5"/>
      <c r="B118" s="6" t="s">
        <v>98</v>
      </c>
      <c r="C118" s="74">
        <v>6.4999999999999997E-3</v>
      </c>
      <c r="D118" s="36">
        <f>((D115+D116+C133)/0.9135)*C118</f>
        <v>27.764190321284019</v>
      </c>
      <c r="E118" s="47"/>
    </row>
    <row r="119" spans="1:6" ht="31.2">
      <c r="A119" s="5"/>
      <c r="B119" s="6" t="s">
        <v>99</v>
      </c>
      <c r="C119" s="74">
        <v>0.03</v>
      </c>
      <c r="D119" s="36">
        <f>((D115+D116+C133)/0.9135)*C119</f>
        <v>128.1424168674647</v>
      </c>
      <c r="E119" s="47"/>
    </row>
    <row r="120" spans="1:6">
      <c r="A120" s="5"/>
      <c r="B120" s="6" t="s">
        <v>61</v>
      </c>
      <c r="C120" s="74"/>
      <c r="D120" s="51"/>
      <c r="E120" s="48"/>
    </row>
    <row r="121" spans="1:6" ht="31.2">
      <c r="A121" s="5"/>
      <c r="B121" s="6" t="s">
        <v>100</v>
      </c>
      <c r="C121" s="74">
        <v>0.05</v>
      </c>
      <c r="D121" s="36">
        <f>((D115+D116+C133)/0.9135)*C121</f>
        <v>213.57069477910787</v>
      </c>
      <c r="E121" s="48"/>
    </row>
    <row r="122" spans="1:6">
      <c r="A122" s="169" t="s">
        <v>31</v>
      </c>
      <c r="B122" s="169"/>
      <c r="C122" s="8">
        <f>C115+C116+C117</f>
        <v>8.7499999999999994E-2</v>
      </c>
      <c r="D122" s="52">
        <f>D115+D116+D117</f>
        <v>373.37631405877534</v>
      </c>
      <c r="E122" s="31"/>
    </row>
    <row r="123" spans="1:6">
      <c r="A123" s="170" t="s">
        <v>72</v>
      </c>
      <c r="B123" s="53">
        <f>(1-(0.65%+3%+5%)/1)</f>
        <v>0.91349999999999998</v>
      </c>
      <c r="E123" s="32"/>
    </row>
    <row r="124" spans="1:6" ht="10.5" customHeight="1">
      <c r="A124" s="170"/>
      <c r="B124" s="54"/>
    </row>
    <row r="125" spans="1:6">
      <c r="A125" s="161" t="s">
        <v>62</v>
      </c>
      <c r="B125" s="161"/>
      <c r="C125" s="161"/>
      <c r="D125" s="161"/>
      <c r="E125" s="23"/>
      <c r="F125" s="22"/>
    </row>
    <row r="126" spans="1:6" ht="3" customHeight="1"/>
    <row r="127" spans="1:6">
      <c r="A127" s="10"/>
      <c r="B127" s="10" t="s">
        <v>63</v>
      </c>
      <c r="C127" s="147" t="s">
        <v>97</v>
      </c>
      <c r="D127" s="148"/>
    </row>
    <row r="128" spans="1:6">
      <c r="A128" s="4" t="s">
        <v>9</v>
      </c>
      <c r="B128" s="6" t="s">
        <v>7</v>
      </c>
      <c r="C128" s="163">
        <f>C22</f>
        <v>1869.673</v>
      </c>
      <c r="D128" s="164"/>
    </row>
    <row r="129" spans="1:6">
      <c r="A129" s="4" t="s">
        <v>11</v>
      </c>
      <c r="B129" s="6" t="s">
        <v>18</v>
      </c>
      <c r="C129" s="163">
        <f>C63</f>
        <v>1662.3413244136</v>
      </c>
      <c r="D129" s="164"/>
    </row>
    <row r="130" spans="1:6">
      <c r="A130" s="4" t="s">
        <v>12</v>
      </c>
      <c r="B130" s="6" t="s">
        <v>37</v>
      </c>
      <c r="C130" s="163">
        <f>D74</f>
        <v>132.28098513326665</v>
      </c>
      <c r="D130" s="164"/>
      <c r="F130" s="122">
        <f>RESUMO!K42</f>
        <v>0</v>
      </c>
    </row>
    <row r="131" spans="1:6">
      <c r="A131" s="4" t="s">
        <v>13</v>
      </c>
      <c r="B131" s="6" t="s">
        <v>45</v>
      </c>
      <c r="C131" s="163">
        <f>C101</f>
        <v>216.19227197651517</v>
      </c>
      <c r="D131" s="164"/>
    </row>
    <row r="132" spans="1:6">
      <c r="A132" s="4" t="s">
        <v>14</v>
      </c>
      <c r="B132" s="6" t="s">
        <v>56</v>
      </c>
      <c r="C132" s="163">
        <f>C110</f>
        <v>17.55</v>
      </c>
      <c r="D132" s="164"/>
    </row>
    <row r="133" spans="1:6" ht="16.2">
      <c r="A133" s="162" t="s">
        <v>64</v>
      </c>
      <c r="B133" s="162"/>
      <c r="C133" s="165">
        <f>SUM(C128:D132)</f>
        <v>3898.037581523382</v>
      </c>
      <c r="D133" s="166"/>
      <c r="E133" s="23"/>
      <c r="F133" s="23"/>
    </row>
    <row r="134" spans="1:6">
      <c r="A134" s="4" t="s">
        <v>15</v>
      </c>
      <c r="B134" s="6" t="s">
        <v>65</v>
      </c>
      <c r="C134" s="167">
        <f>D115+D116+D117</f>
        <v>373.37631405877534</v>
      </c>
      <c r="D134" s="168"/>
    </row>
    <row r="135" spans="1:6">
      <c r="A135" s="162" t="s">
        <v>66</v>
      </c>
      <c r="B135" s="162"/>
      <c r="C135" s="155">
        <f>ROUND((C133+C134),2)</f>
        <v>4271.41</v>
      </c>
      <c r="D135" s="156"/>
      <c r="F135" s="3">
        <v>4271.41</v>
      </c>
    </row>
    <row r="136" spans="1:6">
      <c r="A136"/>
      <c r="B136"/>
      <c r="C136" s="24"/>
      <c r="D136"/>
      <c r="E136"/>
      <c r="F136" s="93">
        <f>C135-F135</f>
        <v>0</v>
      </c>
    </row>
    <row r="137" spans="1:6">
      <c r="D137" s="49"/>
    </row>
    <row r="138" spans="1:6">
      <c r="D138" s="50"/>
    </row>
    <row r="185" ht="1.8" customHeight="1"/>
    <row r="186" ht="7.2" hidden="1" customHeight="1"/>
  </sheetData>
  <mergeCells count="82">
    <mergeCell ref="A13:B13"/>
    <mergeCell ref="A1:D1"/>
    <mergeCell ref="A2:D2"/>
    <mergeCell ref="B3:D3"/>
    <mergeCell ref="B4:D4"/>
    <mergeCell ref="A6:D6"/>
    <mergeCell ref="C7:D7"/>
    <mergeCell ref="C8:D8"/>
    <mergeCell ref="C9:D9"/>
    <mergeCell ref="C10:D10"/>
    <mergeCell ref="A11:D11"/>
    <mergeCell ref="A12:B12"/>
    <mergeCell ref="A31:B31"/>
    <mergeCell ref="A14:D14"/>
    <mergeCell ref="A15:D15"/>
    <mergeCell ref="C17:D17"/>
    <mergeCell ref="C18:D18"/>
    <mergeCell ref="C19:D19"/>
    <mergeCell ref="C20:D20"/>
    <mergeCell ref="C21:D21"/>
    <mergeCell ref="A22:B22"/>
    <mergeCell ref="C22:D22"/>
    <mergeCell ref="A24:D24"/>
    <mergeCell ref="A26:D26"/>
    <mergeCell ref="A57:D57"/>
    <mergeCell ref="A33:D33"/>
    <mergeCell ref="A44:B44"/>
    <mergeCell ref="A46:D46"/>
    <mergeCell ref="C48:D48"/>
    <mergeCell ref="C49:D49"/>
    <mergeCell ref="C50:D50"/>
    <mergeCell ref="C51:D51"/>
    <mergeCell ref="C52:D52"/>
    <mergeCell ref="C54:D54"/>
    <mergeCell ref="A55:B55"/>
    <mergeCell ref="C55:D55"/>
    <mergeCell ref="C53:D53"/>
    <mergeCell ref="A89:D89"/>
    <mergeCell ref="C59:D59"/>
    <mergeCell ref="C60:D60"/>
    <mergeCell ref="C61:D61"/>
    <mergeCell ref="C62:D62"/>
    <mergeCell ref="A63:B63"/>
    <mergeCell ref="C63:D63"/>
    <mergeCell ref="A65:D65"/>
    <mergeCell ref="A74:B74"/>
    <mergeCell ref="A76:D76"/>
    <mergeCell ref="A78:D78"/>
    <mergeCell ref="A87:B87"/>
    <mergeCell ref="C105:D105"/>
    <mergeCell ref="C91:D91"/>
    <mergeCell ref="C92:D92"/>
    <mergeCell ref="A94:B94"/>
    <mergeCell ref="C94:D94"/>
    <mergeCell ref="A96:D96"/>
    <mergeCell ref="C98:D98"/>
    <mergeCell ref="C99:D99"/>
    <mergeCell ref="C100:D100"/>
    <mergeCell ref="A101:B101"/>
    <mergeCell ref="C101:D101"/>
    <mergeCell ref="A103:C103"/>
    <mergeCell ref="C93:D93"/>
    <mergeCell ref="C129:D129"/>
    <mergeCell ref="C106:D106"/>
    <mergeCell ref="C107:D108"/>
    <mergeCell ref="C109:D109"/>
    <mergeCell ref="A110:B110"/>
    <mergeCell ref="C110:D110"/>
    <mergeCell ref="A112:D112"/>
    <mergeCell ref="A122:B122"/>
    <mergeCell ref="A123:A124"/>
    <mergeCell ref="A125:D125"/>
    <mergeCell ref="C127:D127"/>
    <mergeCell ref="C128:D128"/>
    <mergeCell ref="A135:B135"/>
    <mergeCell ref="C135:D135"/>
    <mergeCell ref="C130:D130"/>
    <mergeCell ref="C131:D131"/>
    <mergeCell ref="C132:D132"/>
    <mergeCell ref="A133:B133"/>
    <mergeCell ref="C133:D133"/>
    <mergeCell ref="C134:D134"/>
  </mergeCells>
  <pageMargins left="0.51181102362204722" right="0.51181102362204722" top="1.1417322834645669" bottom="0.35433070866141736" header="0.31496062992125984" footer="0.31496062992125984"/>
  <pageSetup paperSize="9" scale="64" fitToHeight="0" orientation="portrait" cellComments="asDisplayed" r:id="rId1"/>
  <headerFooter>
    <oddHeader>&amp;L&amp;G</oddHeader>
    <oddFooter>&amp;C&amp;G</oddFooter>
  </headerFooter>
  <rowBreaks count="2" manualBreakCount="2">
    <brk id="44" max="4" man="1"/>
    <brk id="110" max="4"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C60C6-8592-4657-8F42-7418AAD71188}">
  <dimension ref="A1:O185"/>
  <sheetViews>
    <sheetView view="pageBreakPreview" topLeftCell="A116" zoomScale="85" zoomScaleNormal="100" zoomScaleSheetLayoutView="85" workbookViewId="0">
      <selection activeCell="C115" sqref="C115"/>
    </sheetView>
  </sheetViews>
  <sheetFormatPr defaultColWidth="9.109375" defaultRowHeight="15.6"/>
  <cols>
    <col min="1" max="1" width="13.5546875" style="3" customWidth="1"/>
    <col min="2" max="2" width="72.109375" style="3" customWidth="1"/>
    <col min="3" max="3" width="18.109375" style="3" customWidth="1"/>
    <col min="4" max="4" width="22.5546875" style="3" customWidth="1"/>
    <col min="5" max="5" width="17.109375" style="3" customWidth="1"/>
    <col min="6" max="6" width="13.44140625" style="3" bestFit="1" customWidth="1"/>
    <col min="7" max="7" width="14.5546875" style="3" customWidth="1"/>
    <col min="8" max="16384" width="9.109375" style="3"/>
  </cols>
  <sheetData>
    <row r="1" spans="1:8" s="1" customFormat="1" ht="102.6" customHeight="1">
      <c r="A1" s="187" t="s">
        <v>139</v>
      </c>
      <c r="B1" s="188"/>
      <c r="C1" s="188"/>
      <c r="D1" s="189"/>
      <c r="E1" s="92"/>
      <c r="F1" s="92"/>
      <c r="G1" s="92"/>
    </row>
    <row r="2" spans="1:8" ht="47.4" customHeight="1">
      <c r="A2" s="180" t="s">
        <v>152</v>
      </c>
      <c r="B2" s="181"/>
      <c r="C2" s="181"/>
      <c r="D2" s="181"/>
      <c r="E2"/>
    </row>
    <row r="3" spans="1:8">
      <c r="A3" s="18" t="s">
        <v>84</v>
      </c>
      <c r="B3" s="182" t="s">
        <v>140</v>
      </c>
      <c r="C3" s="182"/>
      <c r="D3" s="182"/>
      <c r="E3"/>
    </row>
    <row r="4" spans="1:8">
      <c r="A4" s="18" t="s">
        <v>73</v>
      </c>
      <c r="B4" s="182" t="s">
        <v>141</v>
      </c>
      <c r="C4" s="182"/>
      <c r="D4" s="182"/>
      <c r="E4"/>
      <c r="F4"/>
      <c r="G4"/>
      <c r="H4"/>
    </row>
    <row r="5" spans="1:8">
      <c r="A5" s="18" t="s">
        <v>74</v>
      </c>
      <c r="B5" s="56" t="s">
        <v>142</v>
      </c>
      <c r="C5" s="18" t="s">
        <v>85</v>
      </c>
      <c r="D5" s="57"/>
      <c r="E5"/>
      <c r="F5"/>
      <c r="G5"/>
      <c r="H5"/>
    </row>
    <row r="6" spans="1:8">
      <c r="A6" s="179" t="s">
        <v>75</v>
      </c>
      <c r="B6" s="179"/>
      <c r="C6" s="179"/>
      <c r="D6" s="179"/>
      <c r="E6"/>
      <c r="F6"/>
      <c r="G6"/>
      <c r="H6"/>
    </row>
    <row r="7" spans="1:8">
      <c r="A7" s="17" t="s">
        <v>9</v>
      </c>
      <c r="B7" s="20" t="s">
        <v>76</v>
      </c>
      <c r="C7" s="183">
        <v>45048</v>
      </c>
      <c r="D7" s="184"/>
      <c r="E7"/>
      <c r="F7"/>
      <c r="G7"/>
      <c r="H7"/>
    </row>
    <row r="8" spans="1:8">
      <c r="A8" s="17" t="s">
        <v>11</v>
      </c>
      <c r="B8" s="21" t="s">
        <v>77</v>
      </c>
      <c r="C8" s="184" t="s">
        <v>153</v>
      </c>
      <c r="D8" s="184"/>
      <c r="E8"/>
      <c r="F8"/>
      <c r="G8"/>
      <c r="H8"/>
    </row>
    <row r="9" spans="1:8">
      <c r="A9" s="17" t="s">
        <v>12</v>
      </c>
      <c r="B9" s="19" t="s">
        <v>78</v>
      </c>
      <c r="C9" s="184" t="s">
        <v>143</v>
      </c>
      <c r="D9" s="184"/>
      <c r="E9"/>
      <c r="F9"/>
      <c r="G9"/>
      <c r="H9"/>
    </row>
    <row r="10" spans="1:8">
      <c r="A10" s="17" t="s">
        <v>13</v>
      </c>
      <c r="B10" s="21" t="s">
        <v>79</v>
      </c>
      <c r="C10" s="184">
        <v>12</v>
      </c>
      <c r="D10" s="184"/>
      <c r="E10"/>
      <c r="F10"/>
      <c r="G10"/>
      <c r="H10"/>
    </row>
    <row r="11" spans="1:8">
      <c r="A11" s="179" t="s">
        <v>80</v>
      </c>
      <c r="B11" s="179"/>
      <c r="C11" s="179"/>
      <c r="D11" s="179"/>
      <c r="E11"/>
      <c r="F11"/>
      <c r="G11"/>
      <c r="H11"/>
    </row>
    <row r="12" spans="1:8" ht="43.2">
      <c r="A12" s="179" t="s">
        <v>81</v>
      </c>
      <c r="B12" s="179"/>
      <c r="C12" s="42" t="s">
        <v>82</v>
      </c>
      <c r="D12" s="55" t="s">
        <v>83</v>
      </c>
      <c r="E12"/>
      <c r="F12"/>
      <c r="G12"/>
      <c r="H12"/>
    </row>
    <row r="13" spans="1:8" ht="16.5" customHeight="1">
      <c r="A13" s="185" t="s">
        <v>135</v>
      </c>
      <c r="B13" s="185"/>
      <c r="C13" s="43" t="s">
        <v>92</v>
      </c>
      <c r="D13" s="43">
        <v>1</v>
      </c>
      <c r="E13"/>
      <c r="F13"/>
      <c r="G13"/>
      <c r="H13"/>
    </row>
    <row r="14" spans="1:8">
      <c r="A14" s="186"/>
      <c r="B14" s="186"/>
      <c r="C14" s="186"/>
      <c r="D14" s="186"/>
    </row>
    <row r="15" spans="1:8">
      <c r="A15" s="171" t="s">
        <v>101</v>
      </c>
      <c r="B15" s="171"/>
      <c r="C15" s="171"/>
      <c r="D15" s="171"/>
    </row>
    <row r="17" spans="1:6" ht="38.25" customHeight="1">
      <c r="A17" s="10">
        <v>1</v>
      </c>
      <c r="B17" s="10" t="s">
        <v>8</v>
      </c>
      <c r="C17" s="147" t="s">
        <v>97</v>
      </c>
      <c r="D17" s="148"/>
    </row>
    <row r="18" spans="1:6">
      <c r="A18" s="5" t="s">
        <v>9</v>
      </c>
      <c r="B18" s="6" t="s">
        <v>10</v>
      </c>
      <c r="C18" s="145">
        <v>1438.21</v>
      </c>
      <c r="D18" s="146"/>
    </row>
    <row r="19" spans="1:6">
      <c r="A19" s="5" t="s">
        <v>11</v>
      </c>
      <c r="B19" s="6" t="s">
        <v>68</v>
      </c>
      <c r="C19" s="145">
        <f>C18*30/100</f>
        <v>431.46300000000002</v>
      </c>
      <c r="D19" s="146"/>
    </row>
    <row r="20" spans="1:6">
      <c r="A20" s="5" t="s">
        <v>12</v>
      </c>
      <c r="B20" s="6" t="s">
        <v>95</v>
      </c>
      <c r="C20" s="145">
        <f>(C18+C19)/220*0.2*15*7</f>
        <v>178.46878636363638</v>
      </c>
      <c r="D20" s="146"/>
    </row>
    <row r="21" spans="1:6">
      <c r="A21" s="5" t="s">
        <v>13</v>
      </c>
      <c r="B21" s="6" t="s">
        <v>96</v>
      </c>
      <c r="C21" s="145">
        <f>(C18+C19+C20)/220*1.5*15</f>
        <v>209.46904633264467</v>
      </c>
      <c r="D21" s="146"/>
    </row>
    <row r="22" spans="1:6">
      <c r="A22" s="162" t="s">
        <v>0</v>
      </c>
      <c r="B22" s="162"/>
      <c r="C22" s="190">
        <f>SUM(C18:D21)</f>
        <v>2257.6108326962812</v>
      </c>
      <c r="D22" s="191"/>
    </row>
    <row r="24" spans="1:6">
      <c r="A24" s="171" t="s">
        <v>18</v>
      </c>
      <c r="B24" s="171"/>
      <c r="C24" s="171"/>
      <c r="D24" s="171"/>
    </row>
    <row r="25" spans="1:6">
      <c r="A25" s="2"/>
    </row>
    <row r="26" spans="1:6">
      <c r="A26" s="173" t="s">
        <v>19</v>
      </c>
      <c r="B26" s="173"/>
      <c r="C26" s="173"/>
      <c r="D26" s="173"/>
    </row>
    <row r="28" spans="1:6">
      <c r="A28" s="10" t="s">
        <v>20</v>
      </c>
      <c r="B28" s="10" t="s">
        <v>21</v>
      </c>
      <c r="C28" s="10" t="s">
        <v>25</v>
      </c>
      <c r="D28" s="10" t="s">
        <v>97</v>
      </c>
      <c r="F28" s="23"/>
    </row>
    <row r="29" spans="1:6">
      <c r="A29" s="5" t="s">
        <v>9</v>
      </c>
      <c r="B29" s="6" t="s">
        <v>69</v>
      </c>
      <c r="C29" s="7">
        <v>8.3299999999999999E-2</v>
      </c>
      <c r="D29" s="36">
        <f>C29*($C$22)</f>
        <v>188.05898236360022</v>
      </c>
    </row>
    <row r="30" spans="1:6">
      <c r="A30" s="5" t="s">
        <v>11</v>
      </c>
      <c r="B30" s="6" t="s">
        <v>145</v>
      </c>
      <c r="C30" s="7">
        <v>0.1111</v>
      </c>
      <c r="D30" s="36">
        <f>C30*($C$22)</f>
        <v>250.82056351255684</v>
      </c>
      <c r="E30" s="44"/>
    </row>
    <row r="31" spans="1:6">
      <c r="A31" s="162" t="s">
        <v>0</v>
      </c>
      <c r="B31" s="162"/>
      <c r="C31" s="8">
        <f>SUM(C29:C30)</f>
        <v>0.19440000000000002</v>
      </c>
      <c r="D31" s="37">
        <f>SUM(D29:D30)</f>
        <v>438.87954587615707</v>
      </c>
    </row>
    <row r="33" spans="1:6">
      <c r="A33" s="192" t="s">
        <v>22</v>
      </c>
      <c r="B33" s="192"/>
      <c r="C33" s="192"/>
      <c r="D33" s="192"/>
    </row>
    <row r="35" spans="1:6">
      <c r="A35" s="10" t="s">
        <v>23</v>
      </c>
      <c r="B35" s="10" t="s">
        <v>24</v>
      </c>
      <c r="C35" s="10" t="s">
        <v>25</v>
      </c>
      <c r="D35" s="10" t="s">
        <v>97</v>
      </c>
    </row>
    <row r="36" spans="1:6">
      <c r="A36" s="5" t="s">
        <v>9</v>
      </c>
      <c r="B36" s="6" t="s">
        <v>26</v>
      </c>
      <c r="C36" s="70">
        <v>0.2</v>
      </c>
      <c r="D36" s="35">
        <f>C36*($C$22+$D$31)</f>
        <v>539.29807571448771</v>
      </c>
    </row>
    <row r="37" spans="1:6">
      <c r="A37" s="5" t="s">
        <v>11</v>
      </c>
      <c r="B37" s="6" t="s">
        <v>27</v>
      </c>
      <c r="C37" s="70">
        <v>2.5000000000000001E-2</v>
      </c>
      <c r="D37" s="35">
        <f t="shared" ref="D37:D43" si="0">C37*($C$22+$D$31)</f>
        <v>67.412259464310964</v>
      </c>
    </row>
    <row r="38" spans="1:6">
      <c r="A38" s="5" t="s">
        <v>12</v>
      </c>
      <c r="B38" s="6" t="s">
        <v>86</v>
      </c>
      <c r="C38" s="71">
        <v>1.4999999999999999E-2</v>
      </c>
      <c r="D38" s="35">
        <f t="shared" si="0"/>
        <v>40.447355678586568</v>
      </c>
    </row>
    <row r="39" spans="1:6">
      <c r="A39" s="5" t="s">
        <v>13</v>
      </c>
      <c r="B39" s="6" t="s">
        <v>28</v>
      </c>
      <c r="C39" s="70">
        <v>1.4999999999999999E-2</v>
      </c>
      <c r="D39" s="35">
        <f t="shared" si="0"/>
        <v>40.447355678586568</v>
      </c>
    </row>
    <row r="40" spans="1:6">
      <c r="A40" s="5" t="s">
        <v>14</v>
      </c>
      <c r="B40" s="6" t="s">
        <v>29</v>
      </c>
      <c r="C40" s="70">
        <v>0.01</v>
      </c>
      <c r="D40" s="35">
        <f t="shared" si="0"/>
        <v>26.964903785724381</v>
      </c>
    </row>
    <row r="41" spans="1:6">
      <c r="A41" s="5" t="s">
        <v>15</v>
      </c>
      <c r="B41" s="6" t="s">
        <v>1</v>
      </c>
      <c r="C41" s="70">
        <v>6.0000000000000001E-3</v>
      </c>
      <c r="D41" s="35">
        <f t="shared" si="0"/>
        <v>16.178942271434629</v>
      </c>
    </row>
    <row r="42" spans="1:6">
      <c r="A42" s="5" t="s">
        <v>16</v>
      </c>
      <c r="B42" s="6" t="s">
        <v>2</v>
      </c>
      <c r="C42" s="70">
        <v>2E-3</v>
      </c>
      <c r="D42" s="35">
        <f t="shared" si="0"/>
        <v>5.3929807571448762</v>
      </c>
    </row>
    <row r="43" spans="1:6">
      <c r="A43" s="5" t="s">
        <v>30</v>
      </c>
      <c r="B43" s="6" t="s">
        <v>3</v>
      </c>
      <c r="C43" s="70">
        <v>0.08</v>
      </c>
      <c r="D43" s="35">
        <f t="shared" si="0"/>
        <v>215.71923028579505</v>
      </c>
    </row>
    <row r="44" spans="1:6">
      <c r="A44" s="162" t="s">
        <v>31</v>
      </c>
      <c r="B44" s="162"/>
      <c r="C44" s="9">
        <f>SUM(C36:C43)</f>
        <v>0.35300000000000004</v>
      </c>
      <c r="D44" s="45">
        <f>SUM(D36:D43)</f>
        <v>951.86110363607054</v>
      </c>
    </row>
    <row r="46" spans="1:6">
      <c r="A46" s="171" t="s">
        <v>32</v>
      </c>
      <c r="B46" s="171"/>
      <c r="C46" s="171"/>
      <c r="D46" s="171"/>
    </row>
    <row r="48" spans="1:6">
      <c r="A48" s="10" t="s">
        <v>33</v>
      </c>
      <c r="B48" s="10" t="s">
        <v>34</v>
      </c>
      <c r="C48" s="147" t="s">
        <v>97</v>
      </c>
      <c r="D48" s="148"/>
      <c r="F48" s="22"/>
    </row>
    <row r="49" spans="1:6">
      <c r="A49" s="5" t="s">
        <v>9</v>
      </c>
      <c r="B49" s="124" t="s">
        <v>137</v>
      </c>
      <c r="C49" s="149">
        <f>(4.2*2*15)-(C18*6%)</f>
        <v>39.707400000000007</v>
      </c>
      <c r="D49" s="150"/>
      <c r="E49" s="34"/>
      <c r="F49" s="22"/>
    </row>
    <row r="50" spans="1:6">
      <c r="A50" s="5" t="s">
        <v>11</v>
      </c>
      <c r="B50" s="124" t="s">
        <v>268</v>
      </c>
      <c r="C50" s="149">
        <f>(23.12*15)*0.9</f>
        <v>312.12</v>
      </c>
      <c r="D50" s="150"/>
    </row>
    <row r="51" spans="1:6">
      <c r="A51" s="5" t="s">
        <v>12</v>
      </c>
      <c r="B51" s="6" t="s">
        <v>93</v>
      </c>
      <c r="C51" s="145">
        <f>3.8%*C20</f>
        <v>6.7818138818181826</v>
      </c>
      <c r="D51" s="146"/>
    </row>
    <row r="52" spans="1:6">
      <c r="A52" s="5" t="s">
        <v>13</v>
      </c>
      <c r="B52" s="6" t="s">
        <v>263</v>
      </c>
      <c r="C52" s="145">
        <v>5.6</v>
      </c>
      <c r="D52" s="146"/>
    </row>
    <row r="53" spans="1:6">
      <c r="A53" s="5" t="s">
        <v>14</v>
      </c>
      <c r="B53" s="6" t="s">
        <v>146</v>
      </c>
      <c r="C53" s="145">
        <v>97</v>
      </c>
      <c r="D53" s="146"/>
    </row>
    <row r="54" spans="1:6">
      <c r="A54" s="5" t="s">
        <v>15</v>
      </c>
      <c r="B54" s="6" t="s">
        <v>94</v>
      </c>
      <c r="C54" s="145">
        <v>1.5</v>
      </c>
      <c r="D54" s="146"/>
    </row>
    <row r="55" spans="1:6">
      <c r="A55" s="162" t="s">
        <v>0</v>
      </c>
      <c r="B55" s="162"/>
      <c r="C55" s="193">
        <f>SUM(C49:C54)</f>
        <v>462.70921388181824</v>
      </c>
      <c r="D55" s="194"/>
      <c r="E55" s="27"/>
    </row>
    <row r="57" spans="1:6" ht="20.399999999999999">
      <c r="A57" s="172" t="s">
        <v>35</v>
      </c>
      <c r="B57" s="172"/>
      <c r="C57" s="172"/>
      <c r="D57" s="172"/>
    </row>
    <row r="59" spans="1:6">
      <c r="A59" s="10">
        <v>2</v>
      </c>
      <c r="B59" s="10" t="s">
        <v>36</v>
      </c>
      <c r="C59" s="147" t="s">
        <v>97</v>
      </c>
      <c r="D59" s="148"/>
    </row>
    <row r="60" spans="1:6">
      <c r="A60" s="5" t="s">
        <v>20</v>
      </c>
      <c r="B60" s="6" t="s">
        <v>21</v>
      </c>
      <c r="C60" s="145">
        <f>D31</f>
        <v>438.87954587615707</v>
      </c>
      <c r="D60" s="146"/>
    </row>
    <row r="61" spans="1:6">
      <c r="A61" s="5" t="s">
        <v>23</v>
      </c>
      <c r="B61" s="6" t="s">
        <v>24</v>
      </c>
      <c r="C61" s="145">
        <f>D44</f>
        <v>951.86110363607054</v>
      </c>
      <c r="D61" s="146"/>
    </row>
    <row r="62" spans="1:6">
      <c r="A62" s="5" t="s">
        <v>33</v>
      </c>
      <c r="B62" s="6" t="s">
        <v>34</v>
      </c>
      <c r="C62" s="145">
        <f>C55</f>
        <v>462.70921388181824</v>
      </c>
      <c r="D62" s="146"/>
    </row>
    <row r="63" spans="1:6">
      <c r="A63" s="162" t="s">
        <v>0</v>
      </c>
      <c r="B63" s="162"/>
      <c r="C63" s="155">
        <f>SUM(C60:C62)</f>
        <v>1853.4498633940459</v>
      </c>
      <c r="D63" s="156"/>
    </row>
    <row r="64" spans="1:6">
      <c r="A64" s="1"/>
    </row>
    <row r="65" spans="1:5">
      <c r="A65" s="171" t="s">
        <v>37</v>
      </c>
      <c r="B65" s="171"/>
      <c r="C65" s="171"/>
      <c r="D65" s="171"/>
    </row>
    <row r="67" spans="1:5">
      <c r="A67" s="12">
        <v>3</v>
      </c>
      <c r="B67" s="12" t="s">
        <v>38</v>
      </c>
      <c r="C67" s="12" t="s">
        <v>70</v>
      </c>
      <c r="D67" s="12" t="str">
        <f>C59</f>
        <v>VALOR</v>
      </c>
    </row>
    <row r="68" spans="1:5">
      <c r="A68" s="5" t="s">
        <v>9</v>
      </c>
      <c r="B68" s="11" t="s">
        <v>39</v>
      </c>
      <c r="C68" s="70">
        <f>SUM((1/12)*0.05)</f>
        <v>4.1666666666666666E-3</v>
      </c>
      <c r="D68" s="35">
        <f>C68*($C$22+$C$93)</f>
        <v>9.4067118029011709</v>
      </c>
    </row>
    <row r="69" spans="1:5">
      <c r="A69" s="5" t="s">
        <v>11</v>
      </c>
      <c r="B69" s="11" t="s">
        <v>40</v>
      </c>
      <c r="C69" s="70">
        <f>0.42%*8%</f>
        <v>3.3599999999999998E-4</v>
      </c>
      <c r="D69" s="35">
        <f>C69*($C$22+$C$93)</f>
        <v>0.75855723978595047</v>
      </c>
    </row>
    <row r="70" spans="1:5">
      <c r="A70" s="5" t="s">
        <v>12</v>
      </c>
      <c r="B70" s="11" t="s">
        <v>41</v>
      </c>
      <c r="C70" s="70">
        <v>1.1999999999999999E-3</v>
      </c>
      <c r="D70" s="35">
        <f>C70*($C$22)</f>
        <v>2.7091329992355373</v>
      </c>
    </row>
    <row r="71" spans="1:5">
      <c r="A71" s="5" t="s">
        <v>13</v>
      </c>
      <c r="B71" s="11" t="s">
        <v>42</v>
      </c>
      <c r="C71" s="70">
        <v>1.9400000000000001E-2</v>
      </c>
      <c r="D71" s="35">
        <f>C71*($C$22)</f>
        <v>43.79765015430786</v>
      </c>
      <c r="E71" s="25"/>
    </row>
    <row r="72" spans="1:5">
      <c r="A72" s="5" t="s">
        <v>14</v>
      </c>
      <c r="B72" s="11" t="s">
        <v>43</v>
      </c>
      <c r="C72" s="70">
        <f>C71*C44</f>
        <v>6.8482000000000013E-3</v>
      </c>
      <c r="D72" s="35">
        <f>C72*($C$22+$C$93)</f>
        <v>15.460570504470676</v>
      </c>
      <c r="E72" s="26"/>
    </row>
    <row r="73" spans="1:5">
      <c r="A73" s="5" t="s">
        <v>15</v>
      </c>
      <c r="B73" s="11" t="s">
        <v>44</v>
      </c>
      <c r="C73" s="70">
        <v>3.8800000000000001E-2</v>
      </c>
      <c r="D73" s="35">
        <f>C73*($C$22)</f>
        <v>87.59530030861572</v>
      </c>
    </row>
    <row r="74" spans="1:5">
      <c r="A74" s="162" t="s">
        <v>0</v>
      </c>
      <c r="B74" s="162"/>
      <c r="C74" s="9">
        <f>SUM(C68:C73)</f>
        <v>7.0750866666666662E-2</v>
      </c>
      <c r="D74" s="37">
        <f>SUM(D68:D73)</f>
        <v>159.7279230093169</v>
      </c>
    </row>
    <row r="76" spans="1:5">
      <c r="A76" s="171" t="s">
        <v>45</v>
      </c>
      <c r="B76" s="171"/>
      <c r="C76" s="171"/>
      <c r="D76" s="171"/>
    </row>
    <row r="78" spans="1:5">
      <c r="A78" s="173" t="s">
        <v>46</v>
      </c>
      <c r="B78" s="173"/>
      <c r="C78" s="173"/>
      <c r="D78" s="173"/>
    </row>
    <row r="79" spans="1:5">
      <c r="A79" s="2"/>
    </row>
    <row r="80" spans="1:5">
      <c r="A80" s="12" t="s">
        <v>47</v>
      </c>
      <c r="B80" s="12" t="s">
        <v>48</v>
      </c>
      <c r="C80" s="12" t="s">
        <v>71</v>
      </c>
      <c r="D80" s="12" t="str">
        <f>D67</f>
        <v>VALOR</v>
      </c>
    </row>
    <row r="81" spans="1:5">
      <c r="A81" s="5" t="s">
        <v>9</v>
      </c>
      <c r="B81" s="6" t="s">
        <v>90</v>
      </c>
      <c r="C81" s="70">
        <f>11.11%/12</f>
        <v>9.258333333333332E-3</v>
      </c>
      <c r="D81" s="36">
        <f>C81*($C$22)</f>
        <v>20.901713626046401</v>
      </c>
    </row>
    <row r="82" spans="1:5">
      <c r="A82" s="5" t="s">
        <v>11</v>
      </c>
      <c r="B82" s="6" t="s">
        <v>48</v>
      </c>
      <c r="C82" s="70">
        <v>2.8E-3</v>
      </c>
      <c r="D82" s="36">
        <f t="shared" ref="D82:D85" si="1">C82*($C$22)</f>
        <v>6.3213103315495873</v>
      </c>
    </row>
    <row r="83" spans="1:5">
      <c r="A83" s="5" t="s">
        <v>12</v>
      </c>
      <c r="B83" s="6" t="s">
        <v>49</v>
      </c>
      <c r="C83" s="72">
        <v>2.0000000000000001E-4</v>
      </c>
      <c r="D83" s="36">
        <f t="shared" si="1"/>
        <v>0.45152216653925625</v>
      </c>
    </row>
    <row r="84" spans="1:5">
      <c r="A84" s="5" t="s">
        <v>13</v>
      </c>
      <c r="B84" s="6" t="s">
        <v>50</v>
      </c>
      <c r="C84" s="72">
        <v>8.0000000000000004E-4</v>
      </c>
      <c r="D84" s="36">
        <f t="shared" si="1"/>
        <v>1.806088666157025</v>
      </c>
    </row>
    <row r="85" spans="1:5">
      <c r="A85" s="5" t="s">
        <v>14</v>
      </c>
      <c r="B85" s="6" t="s">
        <v>265</v>
      </c>
      <c r="C85" s="80">
        <v>2.9999999999999997E-4</v>
      </c>
      <c r="D85" s="36">
        <f t="shared" si="1"/>
        <v>0.67728324980888432</v>
      </c>
      <c r="E85" s="27"/>
    </row>
    <row r="86" spans="1:5">
      <c r="A86" s="5" t="s">
        <v>15</v>
      </c>
      <c r="B86" s="6" t="s">
        <v>87</v>
      </c>
      <c r="C86" s="80">
        <v>0</v>
      </c>
      <c r="D86" s="36">
        <f>C86*($C$22)</f>
        <v>0</v>
      </c>
      <c r="E86" s="28"/>
    </row>
    <row r="87" spans="1:5">
      <c r="A87" s="174" t="s">
        <v>31</v>
      </c>
      <c r="B87" s="174"/>
      <c r="C87" s="14">
        <f>SUM(C81:C86)</f>
        <v>1.3358333333333333E-2</v>
      </c>
      <c r="D87" s="38">
        <f>SUM(D81:D86)</f>
        <v>30.157918040101151</v>
      </c>
      <c r="E87" s="30"/>
    </row>
    <row r="89" spans="1:5">
      <c r="A89" s="173" t="s">
        <v>51</v>
      </c>
      <c r="B89" s="173"/>
      <c r="C89" s="173"/>
      <c r="D89" s="173"/>
    </row>
    <row r="90" spans="1:5">
      <c r="A90" s="2"/>
    </row>
    <row r="91" spans="1:5">
      <c r="A91" s="12" t="s">
        <v>52</v>
      </c>
      <c r="B91" s="12" t="s">
        <v>53</v>
      </c>
      <c r="C91" s="175" t="str">
        <f>D80</f>
        <v>VALOR</v>
      </c>
      <c r="D91" s="176"/>
    </row>
    <row r="92" spans="1:5">
      <c r="A92" s="5" t="s">
        <v>9</v>
      </c>
      <c r="B92" s="6" t="s">
        <v>67</v>
      </c>
      <c r="C92" s="145">
        <f>(C22)/220*1.5*15</f>
        <v>230.89201698030146</v>
      </c>
      <c r="D92" s="146"/>
    </row>
    <row r="93" spans="1:5" hidden="1">
      <c r="A93" s="174" t="s">
        <v>0</v>
      </c>
      <c r="B93" s="174"/>
      <c r="C93" s="153">
        <v>0</v>
      </c>
      <c r="D93" s="154"/>
    </row>
    <row r="95" spans="1:5" ht="20.399999999999999">
      <c r="A95" s="172" t="s">
        <v>54</v>
      </c>
      <c r="B95" s="172"/>
      <c r="C95" s="172"/>
      <c r="D95" s="172"/>
    </row>
    <row r="96" spans="1:5">
      <c r="A96" s="2"/>
    </row>
    <row r="97" spans="1:15">
      <c r="A97" s="10">
        <v>4</v>
      </c>
      <c r="B97" s="10" t="s">
        <v>55</v>
      </c>
      <c r="C97" s="147" t="str">
        <f>C91</f>
        <v>VALOR</v>
      </c>
      <c r="D97" s="148"/>
    </row>
    <row r="98" spans="1:15">
      <c r="A98" s="5" t="s">
        <v>47</v>
      </c>
      <c r="B98" s="6" t="s">
        <v>48</v>
      </c>
      <c r="C98" s="145">
        <f>D87</f>
        <v>30.157918040101151</v>
      </c>
      <c r="D98" s="146"/>
    </row>
    <row r="99" spans="1:15">
      <c r="A99" s="5" t="s">
        <v>52</v>
      </c>
      <c r="B99" s="6" t="s">
        <v>53</v>
      </c>
      <c r="C99" s="145">
        <f>C92</f>
        <v>230.89201698030146</v>
      </c>
      <c r="D99" s="146"/>
    </row>
    <row r="100" spans="1:15">
      <c r="A100" s="162" t="s">
        <v>0</v>
      </c>
      <c r="B100" s="162"/>
      <c r="C100" s="155">
        <f>SUM(C98:C99)</f>
        <v>261.04993502040259</v>
      </c>
      <c r="D100" s="156"/>
    </row>
    <row r="101" spans="1:15">
      <c r="C101" s="40"/>
    </row>
    <row r="102" spans="1:15">
      <c r="A102" s="171" t="s">
        <v>56</v>
      </c>
      <c r="B102" s="171"/>
      <c r="C102" s="171"/>
      <c r="D102" s="171"/>
    </row>
    <row r="104" spans="1:15">
      <c r="A104" s="4">
        <v>5</v>
      </c>
      <c r="B104" s="15" t="s">
        <v>4</v>
      </c>
      <c r="C104" s="147" t="str">
        <f>C97</f>
        <v>VALOR</v>
      </c>
      <c r="D104" s="148"/>
    </row>
    <row r="105" spans="1:15">
      <c r="A105" s="5" t="s">
        <v>9</v>
      </c>
      <c r="B105" s="6" t="s">
        <v>57</v>
      </c>
      <c r="C105" s="145">
        <f>Uniformes!H14</f>
        <v>13.416666666666668</v>
      </c>
      <c r="D105" s="146"/>
      <c r="O105" s="39"/>
    </row>
    <row r="106" spans="1:15">
      <c r="A106" s="5" t="s">
        <v>11</v>
      </c>
      <c r="B106" s="6" t="s">
        <v>58</v>
      </c>
      <c r="C106" s="157">
        <f>Uniformes!H32</f>
        <v>4.1333333333333337</v>
      </c>
      <c r="D106" s="158"/>
    </row>
    <row r="107" spans="1:15">
      <c r="A107" s="5" t="s">
        <v>12</v>
      </c>
      <c r="B107" s="6" t="s">
        <v>59</v>
      </c>
      <c r="C107" s="159"/>
      <c r="D107" s="160"/>
    </row>
    <row r="108" spans="1:15">
      <c r="A108" s="5" t="s">
        <v>13</v>
      </c>
      <c r="B108" s="6" t="s">
        <v>17</v>
      </c>
      <c r="C108" s="145"/>
      <c r="D108" s="146"/>
    </row>
    <row r="109" spans="1:15">
      <c r="A109" s="162" t="s">
        <v>31</v>
      </c>
      <c r="B109" s="162"/>
      <c r="C109" s="155">
        <f>SUM(C105:C108)</f>
        <v>17.55</v>
      </c>
      <c r="D109" s="156"/>
    </row>
    <row r="111" spans="1:15">
      <c r="A111" s="161" t="s">
        <v>60</v>
      </c>
      <c r="B111" s="161"/>
      <c r="C111" s="161"/>
      <c r="D111" s="161"/>
    </row>
    <row r="113" spans="1:7">
      <c r="A113" s="41">
        <v>6</v>
      </c>
      <c r="B113" s="16" t="s">
        <v>5</v>
      </c>
      <c r="C113" s="41" t="s">
        <v>25</v>
      </c>
      <c r="D113" s="10" t="s">
        <v>97</v>
      </c>
    </row>
    <row r="114" spans="1:7">
      <c r="A114" s="5" t="s">
        <v>9</v>
      </c>
      <c r="B114" s="6" t="s">
        <v>88</v>
      </c>
      <c r="C114" s="13">
        <v>6.8999999999999999E-3</v>
      </c>
      <c r="D114" s="35">
        <f>C114*C132</f>
        <v>31.390781023428325</v>
      </c>
      <c r="E114" s="29"/>
    </row>
    <row r="115" spans="1:7">
      <c r="A115" s="5" t="s">
        <v>11</v>
      </c>
      <c r="B115" s="6" t="s">
        <v>89</v>
      </c>
      <c r="C115" s="13">
        <v>7.0000000000000001E-3</v>
      </c>
      <c r="D115" s="35">
        <f>C115*(D114+C132)</f>
        <v>32.065455346004327</v>
      </c>
      <c r="E115" s="29"/>
      <c r="F115" s="46"/>
    </row>
    <row r="116" spans="1:7" ht="31.2">
      <c r="A116" s="4" t="s">
        <v>12</v>
      </c>
      <c r="B116" s="15" t="s">
        <v>267</v>
      </c>
      <c r="C116" s="73">
        <v>1E-3</v>
      </c>
      <c r="D116" s="75">
        <f>D117+D118+D119+D120</f>
        <v>436.7937322138369</v>
      </c>
      <c r="E116" s="33"/>
      <c r="G116" s="26">
        <f>C114+'A PAÇO - DIU (3)'!C115</f>
        <v>7.4000000000000003E-3</v>
      </c>
    </row>
    <row r="117" spans="1:7" ht="31.2">
      <c r="A117" s="5"/>
      <c r="B117" s="6" t="s">
        <v>98</v>
      </c>
      <c r="C117" s="74">
        <v>6.4999999999999997E-3</v>
      </c>
      <c r="D117" s="36">
        <f>((D114+D115+C132)/0.9135)*C117</f>
        <v>32.822650397571557</v>
      </c>
      <c r="E117" s="47"/>
      <c r="G117" s="125">
        <f>G116/2</f>
        <v>3.7000000000000002E-3</v>
      </c>
    </row>
    <row r="118" spans="1:7" ht="31.2">
      <c r="A118" s="5"/>
      <c r="B118" s="6" t="s">
        <v>99</v>
      </c>
      <c r="C118" s="74">
        <v>0.03</v>
      </c>
      <c r="D118" s="36">
        <f>((D114+D115+C132)/0.9135)*C118</f>
        <v>151.4891556810995</v>
      </c>
      <c r="E118" s="47"/>
    </row>
    <row r="119" spans="1:7">
      <c r="A119" s="5"/>
      <c r="B119" s="6" t="s">
        <v>61</v>
      </c>
      <c r="C119" s="74"/>
      <c r="D119" s="51"/>
      <c r="E119" s="48"/>
    </row>
    <row r="120" spans="1:7" ht="31.2">
      <c r="A120" s="5"/>
      <c r="B120" s="6" t="s">
        <v>100</v>
      </c>
      <c r="C120" s="74">
        <v>0.05</v>
      </c>
      <c r="D120" s="36">
        <f>((D114+D115+C132)/0.9135)*C120</f>
        <v>252.48192613516585</v>
      </c>
      <c r="E120" s="48"/>
    </row>
    <row r="121" spans="1:7">
      <c r="A121" s="169" t="s">
        <v>31</v>
      </c>
      <c r="B121" s="169"/>
      <c r="C121" s="8">
        <f>C114+C115+C116</f>
        <v>1.49E-2</v>
      </c>
      <c r="D121" s="52">
        <f>D114+D115+D116</f>
        <v>500.24996858326955</v>
      </c>
      <c r="E121" s="31"/>
    </row>
    <row r="122" spans="1:7">
      <c r="A122" s="195" t="s">
        <v>72</v>
      </c>
      <c r="B122" s="126">
        <f>(1-(0.65%+3%+5%)/1)</f>
        <v>0.91349999999999998</v>
      </c>
      <c r="C122" s="127"/>
      <c r="D122" s="127"/>
      <c r="E122" s="32"/>
    </row>
    <row r="123" spans="1:7">
      <c r="A123" s="170"/>
      <c r="B123" s="54"/>
    </row>
    <row r="124" spans="1:7">
      <c r="A124" s="161" t="s">
        <v>62</v>
      </c>
      <c r="B124" s="161"/>
      <c r="C124" s="161"/>
      <c r="D124" s="161"/>
      <c r="E124" s="23"/>
      <c r="F124" s="22"/>
    </row>
    <row r="126" spans="1:7" ht="38.25" customHeight="1">
      <c r="A126" s="10"/>
      <c r="B126" s="10" t="s">
        <v>63</v>
      </c>
      <c r="C126" s="147" t="str">
        <f>D113</f>
        <v>VALOR</v>
      </c>
      <c r="D126" s="148"/>
    </row>
    <row r="127" spans="1:7">
      <c r="A127" s="4" t="s">
        <v>9</v>
      </c>
      <c r="B127" s="6" t="s">
        <v>7</v>
      </c>
      <c r="C127" s="163">
        <f>C22</f>
        <v>2257.6108326962812</v>
      </c>
      <c r="D127" s="164"/>
    </row>
    <row r="128" spans="1:7">
      <c r="A128" s="4" t="s">
        <v>11</v>
      </c>
      <c r="B128" s="6" t="s">
        <v>18</v>
      </c>
      <c r="C128" s="163">
        <f>C63</f>
        <v>1853.4498633940459</v>
      </c>
      <c r="D128" s="164"/>
    </row>
    <row r="129" spans="1:6">
      <c r="A129" s="4" t="s">
        <v>12</v>
      </c>
      <c r="B129" s="6" t="s">
        <v>37</v>
      </c>
      <c r="C129" s="163">
        <f>D74</f>
        <v>159.7279230093169</v>
      </c>
      <c r="D129" s="164"/>
    </row>
    <row r="130" spans="1:6">
      <c r="A130" s="4" t="s">
        <v>13</v>
      </c>
      <c r="B130" s="6" t="s">
        <v>45</v>
      </c>
      <c r="C130" s="163">
        <f>C100</f>
        <v>261.04993502040259</v>
      </c>
      <c r="D130" s="164"/>
    </row>
    <row r="131" spans="1:6">
      <c r="A131" s="4" t="s">
        <v>14</v>
      </c>
      <c r="B131" s="6" t="s">
        <v>56</v>
      </c>
      <c r="C131" s="163">
        <f>C109</f>
        <v>17.55</v>
      </c>
      <c r="D131" s="164"/>
    </row>
    <row r="132" spans="1:6" ht="16.2">
      <c r="A132" s="162" t="s">
        <v>64</v>
      </c>
      <c r="B132" s="162"/>
      <c r="C132" s="165">
        <f>SUM(C127:C131)</f>
        <v>4549.388554120047</v>
      </c>
      <c r="D132" s="166"/>
      <c r="E132" s="23"/>
      <c r="F132" s="23"/>
    </row>
    <row r="133" spans="1:6">
      <c r="A133" s="4" t="s">
        <v>15</v>
      </c>
      <c r="B133" s="6" t="s">
        <v>65</v>
      </c>
      <c r="C133" s="167">
        <f>D114+D115+D116</f>
        <v>500.24996858326955</v>
      </c>
      <c r="D133" s="168"/>
    </row>
    <row r="134" spans="1:6">
      <c r="A134" s="162" t="s">
        <v>66</v>
      </c>
      <c r="B134" s="162"/>
      <c r="C134" s="155">
        <f>ROUND((C132+C133),2)</f>
        <v>5049.6400000000003</v>
      </c>
      <c r="D134" s="156"/>
      <c r="F134" s="3">
        <v>5049.6899999999996</v>
      </c>
    </row>
    <row r="135" spans="1:6">
      <c r="A135"/>
      <c r="B135"/>
      <c r="C135" s="24"/>
      <c r="D135"/>
      <c r="E135"/>
      <c r="F135" s="93">
        <f>C134-F134</f>
        <v>-4.9999999999272404E-2</v>
      </c>
    </row>
    <row r="136" spans="1:6">
      <c r="D136" s="49"/>
    </row>
    <row r="137" spans="1:6">
      <c r="D137" s="50"/>
    </row>
    <row r="184" ht="1.8" customHeight="1"/>
    <row r="185" ht="7.2" hidden="1" customHeight="1"/>
  </sheetData>
  <mergeCells count="81">
    <mergeCell ref="A13:B13"/>
    <mergeCell ref="A1:D1"/>
    <mergeCell ref="A2:D2"/>
    <mergeCell ref="B3:D3"/>
    <mergeCell ref="B4:D4"/>
    <mergeCell ref="A6:D6"/>
    <mergeCell ref="C7:D7"/>
    <mergeCell ref="C8:D8"/>
    <mergeCell ref="C9:D9"/>
    <mergeCell ref="C10:D10"/>
    <mergeCell ref="A11:D11"/>
    <mergeCell ref="A12:B12"/>
    <mergeCell ref="A31:B31"/>
    <mergeCell ref="A14:D14"/>
    <mergeCell ref="A15:D15"/>
    <mergeCell ref="C17:D17"/>
    <mergeCell ref="C18:D18"/>
    <mergeCell ref="C19:D19"/>
    <mergeCell ref="C20:D20"/>
    <mergeCell ref="C21:D21"/>
    <mergeCell ref="A22:B22"/>
    <mergeCell ref="C22:D22"/>
    <mergeCell ref="A24:D24"/>
    <mergeCell ref="A26:D26"/>
    <mergeCell ref="A57:D57"/>
    <mergeCell ref="A33:D33"/>
    <mergeCell ref="A44:B44"/>
    <mergeCell ref="A46:D46"/>
    <mergeCell ref="C48:D48"/>
    <mergeCell ref="C49:D49"/>
    <mergeCell ref="C50:D50"/>
    <mergeCell ref="C51:D51"/>
    <mergeCell ref="C53:D53"/>
    <mergeCell ref="C54:D54"/>
    <mergeCell ref="A55:B55"/>
    <mergeCell ref="C55:D55"/>
    <mergeCell ref="C52:D52"/>
    <mergeCell ref="A89:D89"/>
    <mergeCell ref="C59:D59"/>
    <mergeCell ref="C60:D60"/>
    <mergeCell ref="C61:D61"/>
    <mergeCell ref="C62:D62"/>
    <mergeCell ref="A63:B63"/>
    <mergeCell ref="C63:D63"/>
    <mergeCell ref="A65:D65"/>
    <mergeCell ref="A74:B74"/>
    <mergeCell ref="A76:D76"/>
    <mergeCell ref="A78:D78"/>
    <mergeCell ref="A87:B87"/>
    <mergeCell ref="C104:D104"/>
    <mergeCell ref="C91:D91"/>
    <mergeCell ref="C92:D92"/>
    <mergeCell ref="A93:B93"/>
    <mergeCell ref="C93:D93"/>
    <mergeCell ref="A95:D95"/>
    <mergeCell ref="C97:D97"/>
    <mergeCell ref="C98:D98"/>
    <mergeCell ref="C99:D99"/>
    <mergeCell ref="A100:B100"/>
    <mergeCell ref="C100:D100"/>
    <mergeCell ref="A102:D102"/>
    <mergeCell ref="C128:D128"/>
    <mergeCell ref="C105:D105"/>
    <mergeCell ref="C106:D107"/>
    <mergeCell ref="C108:D108"/>
    <mergeCell ref="A109:B109"/>
    <mergeCell ref="C109:D109"/>
    <mergeCell ref="A111:D111"/>
    <mergeCell ref="A121:B121"/>
    <mergeCell ref="A122:A123"/>
    <mergeCell ref="A124:D124"/>
    <mergeCell ref="C126:D126"/>
    <mergeCell ref="C127:D127"/>
    <mergeCell ref="A134:B134"/>
    <mergeCell ref="C134:D134"/>
    <mergeCell ref="C129:D129"/>
    <mergeCell ref="C130:D130"/>
    <mergeCell ref="C131:D131"/>
    <mergeCell ref="A132:B132"/>
    <mergeCell ref="C132:D132"/>
    <mergeCell ref="C133:D133"/>
  </mergeCells>
  <pageMargins left="0.51181102362204722" right="0.51181102362204722" top="1.1417322834645669" bottom="0.35433070866141736" header="0.31496062992125984" footer="0.31496062992125984"/>
  <pageSetup paperSize="9" scale="52" fitToHeight="0" orientation="portrait" r:id="rId1"/>
  <headerFooter>
    <oddHeader>&amp;L&amp;G</oddHeader>
    <oddFooter>&amp;C&amp;G</oddFooter>
  </headerFooter>
  <rowBreaks count="2" manualBreakCount="2">
    <brk id="44" max="4" man="1"/>
    <brk id="109" max="4"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32"/>
  <sheetViews>
    <sheetView view="pageBreakPreview" zoomScaleNormal="100" zoomScaleSheetLayoutView="100" workbookViewId="0">
      <selection activeCell="J8" sqref="J1:O1048576"/>
    </sheetView>
  </sheetViews>
  <sheetFormatPr defaultColWidth="9.109375" defaultRowHeight="13.2"/>
  <cols>
    <col min="1" max="1" width="3.33203125" style="58" customWidth="1"/>
    <col min="2" max="2" width="9.109375" style="58"/>
    <col min="3" max="3" width="46" style="58" customWidth="1"/>
    <col min="4" max="4" width="13.5546875" style="58" customWidth="1"/>
    <col min="5" max="5" width="17.6640625" style="58" customWidth="1"/>
    <col min="6" max="6" width="14.33203125" style="58" customWidth="1"/>
    <col min="7" max="7" width="16.88671875" style="58" customWidth="1"/>
    <col min="8" max="8" width="17.109375" style="58" customWidth="1"/>
    <col min="9" max="9" width="3.88671875" style="58" customWidth="1"/>
    <col min="10" max="10" width="13.88671875" style="58" customWidth="1"/>
    <col min="11" max="11" width="9.6640625" style="58" bestFit="1" customWidth="1"/>
    <col min="12" max="17" width="9.109375" style="58"/>
    <col min="18" max="18" width="0" style="58" hidden="1" customWidth="1"/>
    <col min="19" max="16384" width="9.109375" style="58"/>
  </cols>
  <sheetData>
    <row r="1" spans="2:10" ht="48.75" customHeight="1">
      <c r="B1" s="199"/>
      <c r="C1" s="199"/>
      <c r="D1" s="199"/>
      <c r="E1" s="199"/>
      <c r="F1" s="199"/>
      <c r="G1" s="199"/>
      <c r="H1" s="199"/>
      <c r="I1"/>
      <c r="J1"/>
    </row>
    <row r="2" spans="2:10" ht="116.4" customHeight="1">
      <c r="B2" s="201" t="str">
        <f>RESUMO!B1</f>
        <v>AO
ESTADO DO MARANHÃO
MINISTÉRIO PÚBLICO
PROCURADORIA-GERAL DE JUSTIÇA
COMISSÃO PERMANENTE DE LICITAÇÃO
PREGÃO ELETRÔNICO Nº 23/2023
PROCESSO ADMINISTRATIVO Nº 18976/2022</v>
      </c>
      <c r="C2" s="201"/>
      <c r="D2" s="201"/>
      <c r="E2" s="201"/>
      <c r="F2" s="201"/>
      <c r="G2" s="201"/>
      <c r="H2" s="201"/>
      <c r="I2" s="76"/>
      <c r="J2" s="76"/>
    </row>
    <row r="3" spans="2:10" ht="27" customHeight="1">
      <c r="B3" s="196" t="s">
        <v>117</v>
      </c>
      <c r="C3" s="196"/>
      <c r="D3" s="196"/>
      <c r="E3" s="196"/>
      <c r="F3" s="196"/>
      <c r="G3" s="196"/>
      <c r="H3" s="196"/>
    </row>
    <row r="4" spans="2:10" ht="28.8">
      <c r="B4" s="59" t="s">
        <v>118</v>
      </c>
      <c r="C4" s="59" t="s">
        <v>119</v>
      </c>
      <c r="D4" s="60" t="s">
        <v>120</v>
      </c>
      <c r="E4" s="60" t="s">
        <v>121</v>
      </c>
      <c r="F4" s="60" t="s">
        <v>122</v>
      </c>
      <c r="G4" s="60" t="s">
        <v>123</v>
      </c>
      <c r="H4" s="59" t="s">
        <v>124</v>
      </c>
    </row>
    <row r="5" spans="2:10" ht="14.4">
      <c r="B5" s="61">
        <v>1</v>
      </c>
      <c r="C5" s="62" t="s">
        <v>125</v>
      </c>
      <c r="D5" s="63" t="s">
        <v>127</v>
      </c>
      <c r="E5" s="64" t="s">
        <v>180</v>
      </c>
      <c r="F5" s="65">
        <v>10</v>
      </c>
      <c r="G5" s="87">
        <v>6</v>
      </c>
      <c r="H5" s="66">
        <f>E5*F5/G5</f>
        <v>3.3333333333333335</v>
      </c>
    </row>
    <row r="6" spans="2:10" ht="14.4">
      <c r="B6" s="61">
        <v>2</v>
      </c>
      <c r="C6" s="62" t="s">
        <v>179</v>
      </c>
      <c r="D6" s="63" t="s">
        <v>127</v>
      </c>
      <c r="E6" s="67" t="s">
        <v>181</v>
      </c>
      <c r="F6" s="65">
        <v>10</v>
      </c>
      <c r="G6" s="87">
        <v>6</v>
      </c>
      <c r="H6" s="66">
        <f t="shared" ref="H6:H11" si="0">E6*F6/G6</f>
        <v>5</v>
      </c>
    </row>
    <row r="7" spans="2:10" ht="14.4">
      <c r="B7" s="61">
        <v>3</v>
      </c>
      <c r="C7" s="62" t="s">
        <v>126</v>
      </c>
      <c r="D7" s="63" t="s">
        <v>127</v>
      </c>
      <c r="E7" s="67" t="s">
        <v>180</v>
      </c>
      <c r="F7" s="65">
        <v>2</v>
      </c>
      <c r="G7" s="87">
        <v>6</v>
      </c>
      <c r="H7" s="66">
        <f t="shared" si="0"/>
        <v>0.66666666666666663</v>
      </c>
    </row>
    <row r="8" spans="2:10" ht="14.4">
      <c r="B8" s="61">
        <v>4</v>
      </c>
      <c r="C8" s="62" t="s">
        <v>134</v>
      </c>
      <c r="D8" s="63" t="s">
        <v>128</v>
      </c>
      <c r="E8" s="86">
        <v>2</v>
      </c>
      <c r="F8" s="65">
        <v>10</v>
      </c>
      <c r="G8" s="87">
        <v>6</v>
      </c>
      <c r="H8" s="66">
        <f t="shared" si="0"/>
        <v>3.3333333333333335</v>
      </c>
    </row>
    <row r="9" spans="2:10" ht="14.4">
      <c r="B9" s="61">
        <v>5</v>
      </c>
      <c r="C9" s="62" t="s">
        <v>129</v>
      </c>
      <c r="D9" s="63" t="s">
        <v>128</v>
      </c>
      <c r="E9" s="86">
        <v>3</v>
      </c>
      <c r="F9" s="65">
        <v>0.5</v>
      </c>
      <c r="G9" s="87">
        <v>6</v>
      </c>
      <c r="H9" s="66">
        <f t="shared" si="0"/>
        <v>0.25</v>
      </c>
    </row>
    <row r="10" spans="2:10" ht="14.4">
      <c r="B10" s="61">
        <v>6</v>
      </c>
      <c r="C10" s="62" t="s">
        <v>133</v>
      </c>
      <c r="D10" s="63" t="s">
        <v>127</v>
      </c>
      <c r="E10" s="86">
        <v>2</v>
      </c>
      <c r="F10" s="65">
        <v>1</v>
      </c>
      <c r="G10" s="87">
        <v>6</v>
      </c>
      <c r="H10" s="66">
        <f t="shared" si="0"/>
        <v>0.33333333333333331</v>
      </c>
      <c r="J10" s="123"/>
    </row>
    <row r="11" spans="2:10" ht="14.4">
      <c r="B11" s="61">
        <v>7</v>
      </c>
      <c r="C11" s="62" t="s">
        <v>131</v>
      </c>
      <c r="D11" s="63" t="s">
        <v>127</v>
      </c>
      <c r="E11" s="86">
        <v>1</v>
      </c>
      <c r="F11" s="65">
        <v>2</v>
      </c>
      <c r="G11" s="87">
        <v>6</v>
      </c>
      <c r="H11" s="66">
        <f t="shared" si="0"/>
        <v>0.33333333333333331</v>
      </c>
    </row>
    <row r="12" spans="2:10" ht="14.4">
      <c r="B12" s="61">
        <v>8</v>
      </c>
      <c r="C12" s="62" t="s">
        <v>130</v>
      </c>
      <c r="D12" s="63" t="s">
        <v>127</v>
      </c>
      <c r="E12" s="86">
        <v>1</v>
      </c>
      <c r="F12" s="65">
        <v>1</v>
      </c>
      <c r="G12" s="87">
        <v>6</v>
      </c>
      <c r="H12" s="66">
        <f t="shared" ref="H12" si="1">E12*F12/G12</f>
        <v>0.16666666666666666</v>
      </c>
    </row>
    <row r="13" spans="2:10" ht="14.4">
      <c r="B13" s="61">
        <v>9</v>
      </c>
      <c r="C13" s="62"/>
      <c r="D13" s="63"/>
      <c r="E13" s="86"/>
      <c r="F13" s="65"/>
      <c r="G13" s="87"/>
      <c r="H13" s="66"/>
      <c r="J13" s="119"/>
    </row>
    <row r="14" spans="2:10" ht="14.4">
      <c r="B14" s="197" t="s">
        <v>116</v>
      </c>
      <c r="C14" s="198"/>
      <c r="D14" s="198"/>
      <c r="E14" s="198"/>
      <c r="F14" s="198"/>
      <c r="G14" s="200"/>
      <c r="H14" s="68">
        <f>SUM(H5:H13)</f>
        <v>13.416666666666668</v>
      </c>
    </row>
    <row r="16" spans="2:10" ht="27" customHeight="1">
      <c r="B16" s="196" t="s">
        <v>117</v>
      </c>
      <c r="C16" s="196"/>
      <c r="D16" s="196"/>
      <c r="E16" s="196"/>
      <c r="F16" s="196"/>
      <c r="G16" s="196"/>
      <c r="H16" s="196"/>
      <c r="J16" s="119"/>
    </row>
    <row r="17" spans="1:11" ht="28.8">
      <c r="B17" s="59" t="s">
        <v>118</v>
      </c>
      <c r="C17" s="59" t="s">
        <v>119</v>
      </c>
      <c r="D17" s="60" t="s">
        <v>120</v>
      </c>
      <c r="E17" s="60" t="s">
        <v>182</v>
      </c>
      <c r="F17" s="60" t="s">
        <v>122</v>
      </c>
      <c r="G17" s="60" t="s">
        <v>123</v>
      </c>
      <c r="H17" s="59" t="s">
        <v>124</v>
      </c>
    </row>
    <row r="18" spans="1:11" ht="14.4">
      <c r="B18" s="61">
        <v>1</v>
      </c>
      <c r="C18" s="81" t="s">
        <v>108</v>
      </c>
      <c r="D18" s="63" t="s">
        <v>127</v>
      </c>
      <c r="E18" s="87">
        <v>1</v>
      </c>
      <c r="F18" s="82">
        <v>387</v>
      </c>
      <c r="G18" s="87">
        <v>60</v>
      </c>
      <c r="H18" s="66">
        <f>E18*F18/G18</f>
        <v>6.45</v>
      </c>
    </row>
    <row r="19" spans="1:11" ht="14.4">
      <c r="B19" s="61">
        <v>2</v>
      </c>
      <c r="C19" s="83" t="s">
        <v>109</v>
      </c>
      <c r="D19" s="63" t="s">
        <v>127</v>
      </c>
      <c r="E19" s="87">
        <v>12</v>
      </c>
      <c r="F19" s="82">
        <v>1.5</v>
      </c>
      <c r="G19" s="87">
        <v>60</v>
      </c>
      <c r="H19" s="66">
        <f t="shared" ref="H19:H30" si="2">E19*F19/G19</f>
        <v>0.3</v>
      </c>
      <c r="K19" s="119"/>
    </row>
    <row r="20" spans="1:11" ht="14.4">
      <c r="B20" s="61">
        <v>3</v>
      </c>
      <c r="C20" s="84" t="s">
        <v>112</v>
      </c>
      <c r="D20" s="63" t="s">
        <v>127</v>
      </c>
      <c r="E20" s="87">
        <v>1</v>
      </c>
      <c r="F20" s="82">
        <v>5</v>
      </c>
      <c r="G20" s="87">
        <v>12</v>
      </c>
      <c r="H20" s="66">
        <f>E20*F20/G20</f>
        <v>0.41666666666666669</v>
      </c>
    </row>
    <row r="21" spans="1:11" ht="14.4">
      <c r="B21" s="61">
        <v>4</v>
      </c>
      <c r="C21" s="84" t="s">
        <v>183</v>
      </c>
      <c r="D21" s="63" t="s">
        <v>127</v>
      </c>
      <c r="E21" s="87">
        <v>1</v>
      </c>
      <c r="F21" s="82">
        <v>2</v>
      </c>
      <c r="G21" s="87">
        <v>60</v>
      </c>
      <c r="H21" s="66">
        <f>E21*F21/G21</f>
        <v>3.3333333333333333E-2</v>
      </c>
    </row>
    <row r="22" spans="1:11" ht="14.4">
      <c r="B22" s="61">
        <v>5</v>
      </c>
      <c r="C22" s="84" t="s">
        <v>184</v>
      </c>
      <c r="D22" s="63" t="s">
        <v>127</v>
      </c>
      <c r="E22" s="87">
        <v>1</v>
      </c>
      <c r="F22" s="82">
        <v>1</v>
      </c>
      <c r="G22" s="87">
        <v>6</v>
      </c>
      <c r="H22" s="66">
        <f t="shared" ref="H22:H23" si="3">E22*F22/G22</f>
        <v>0.16666666666666666</v>
      </c>
    </row>
    <row r="23" spans="1:11" ht="14.4">
      <c r="B23" s="61">
        <v>6</v>
      </c>
      <c r="C23" s="84" t="s">
        <v>113</v>
      </c>
      <c r="D23" s="63" t="s">
        <v>127</v>
      </c>
      <c r="E23" s="87">
        <v>1</v>
      </c>
      <c r="F23" s="82">
        <v>10</v>
      </c>
      <c r="G23" s="87">
        <v>60</v>
      </c>
      <c r="H23" s="66">
        <f t="shared" si="3"/>
        <v>0.16666666666666666</v>
      </c>
    </row>
    <row r="24" spans="1:11" ht="14.4">
      <c r="B24" s="61">
        <v>7</v>
      </c>
      <c r="C24" s="84" t="s">
        <v>185</v>
      </c>
      <c r="D24" s="63" t="s">
        <v>127</v>
      </c>
      <c r="E24" s="87">
        <v>4</v>
      </c>
      <c r="F24" s="82">
        <v>1</v>
      </c>
      <c r="G24" s="87">
        <v>12</v>
      </c>
      <c r="H24" s="66">
        <f t="shared" ref="H24" si="4">E24*F24/G24</f>
        <v>0.33333333333333331</v>
      </c>
    </row>
    <row r="25" spans="1:11" ht="14.4">
      <c r="B25" s="61">
        <v>8</v>
      </c>
      <c r="C25" s="84" t="s">
        <v>186</v>
      </c>
      <c r="D25" s="63" t="s">
        <v>127</v>
      </c>
      <c r="E25" s="87">
        <v>1</v>
      </c>
      <c r="F25" s="82">
        <v>1</v>
      </c>
      <c r="G25" s="87">
        <v>12</v>
      </c>
      <c r="H25" s="66">
        <f t="shared" ref="H25" si="5">E25*F25/G25</f>
        <v>8.3333333333333329E-2</v>
      </c>
    </row>
    <row r="26" spans="1:11" ht="14.4">
      <c r="A26" s="58">
        <v>15</v>
      </c>
      <c r="B26" s="61">
        <v>9</v>
      </c>
      <c r="C26" s="85" t="s">
        <v>114</v>
      </c>
      <c r="D26" s="63" t="s">
        <v>127</v>
      </c>
      <c r="E26" s="87">
        <v>1</v>
      </c>
      <c r="F26" s="82">
        <v>5</v>
      </c>
      <c r="G26" s="87">
        <v>60</v>
      </c>
      <c r="H26" s="66">
        <f>E26*F26/G26</f>
        <v>8.3333333333333329E-2</v>
      </c>
    </row>
    <row r="27" spans="1:11" ht="14.4">
      <c r="B27" s="61">
        <v>10</v>
      </c>
      <c r="C27" s="84" t="s">
        <v>115</v>
      </c>
      <c r="D27" s="63" t="s">
        <v>127</v>
      </c>
      <c r="E27" s="87">
        <v>2</v>
      </c>
      <c r="F27" s="100">
        <v>25</v>
      </c>
      <c r="G27" s="87">
        <v>12</v>
      </c>
      <c r="H27" s="66">
        <f>E27*F27/G27</f>
        <v>4.166666666666667</v>
      </c>
    </row>
    <row r="28" spans="1:11" ht="14.4">
      <c r="B28" s="61">
        <v>11</v>
      </c>
      <c r="C28" s="84" t="s">
        <v>110</v>
      </c>
      <c r="D28" s="63" t="s">
        <v>127</v>
      </c>
      <c r="E28" s="87">
        <v>1</v>
      </c>
      <c r="F28" s="82">
        <v>50</v>
      </c>
      <c r="G28" s="87">
        <v>60</v>
      </c>
      <c r="H28" s="66">
        <f t="shared" si="2"/>
        <v>0.83333333333333337</v>
      </c>
    </row>
    <row r="29" spans="1:11" ht="14.4">
      <c r="B29" s="61">
        <v>12</v>
      </c>
      <c r="C29" s="84" t="s">
        <v>111</v>
      </c>
      <c r="D29" s="63" t="s">
        <v>127</v>
      </c>
      <c r="E29" s="87">
        <v>4</v>
      </c>
      <c r="F29" s="82">
        <v>10</v>
      </c>
      <c r="G29" s="87">
        <v>12</v>
      </c>
      <c r="H29" s="66">
        <f t="shared" si="2"/>
        <v>3.3333333333333335</v>
      </c>
    </row>
    <row r="30" spans="1:11" ht="14.4">
      <c r="B30" s="61">
        <v>13</v>
      </c>
      <c r="C30" s="84" t="s">
        <v>113</v>
      </c>
      <c r="D30" s="63" t="s">
        <v>127</v>
      </c>
      <c r="E30" s="87">
        <v>1</v>
      </c>
      <c r="F30" s="82">
        <v>10</v>
      </c>
      <c r="G30" s="87">
        <v>60</v>
      </c>
      <c r="H30" s="66">
        <f t="shared" si="2"/>
        <v>0.16666666666666666</v>
      </c>
    </row>
    <row r="31" spans="1:11" ht="14.4">
      <c r="B31" s="61">
        <v>16</v>
      </c>
      <c r="C31" s="62"/>
      <c r="D31" s="63"/>
      <c r="E31" s="86"/>
      <c r="F31" s="65"/>
      <c r="G31" s="87"/>
      <c r="H31" s="66"/>
    </row>
    <row r="32" spans="1:11" ht="14.4">
      <c r="B32" s="197" t="s">
        <v>187</v>
      </c>
      <c r="C32" s="198"/>
      <c r="D32" s="198"/>
      <c r="E32" s="198"/>
      <c r="F32" s="198"/>
      <c r="G32" s="90">
        <v>4</v>
      </c>
      <c r="H32" s="68">
        <f>SUM(H18:H31)/G32</f>
        <v>4.1333333333333337</v>
      </c>
    </row>
  </sheetData>
  <mergeCells count="6">
    <mergeCell ref="B16:H16"/>
    <mergeCell ref="B32:F32"/>
    <mergeCell ref="B1:H1"/>
    <mergeCell ref="B3:H3"/>
    <mergeCell ref="B14:G14"/>
    <mergeCell ref="B2:H2"/>
  </mergeCells>
  <printOptions horizontalCentered="1" verticalCentered="1"/>
  <pageMargins left="0.7" right="0.7" top="0.75" bottom="0.75" header="0.3" footer="0.3"/>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10</vt:i4>
      </vt:variant>
    </vt:vector>
  </HeadingPairs>
  <TitlesOfParts>
    <vt:vector size="21" baseType="lpstr">
      <vt:lpstr>RESUMO (2)</vt:lpstr>
      <vt:lpstr>RESUMO</vt:lpstr>
      <vt:lpstr>A SLZ - DIU</vt:lpstr>
      <vt:lpstr>B SLZ - NOT</vt:lpstr>
      <vt:lpstr>A SJR - DIU (2)</vt:lpstr>
      <vt:lpstr>B SJR - NOT (2)</vt:lpstr>
      <vt:lpstr>A PAÇO - DIU (3)</vt:lpstr>
      <vt:lpstr>B PAÇO - NOT (3)</vt:lpstr>
      <vt:lpstr>Uniformes</vt:lpstr>
      <vt:lpstr>MEMORIA DE CAL</vt:lpstr>
      <vt:lpstr>MEM CAL BDI</vt:lpstr>
      <vt:lpstr>'A PAÇO - DIU (3)'!Area_de_impressao</vt:lpstr>
      <vt:lpstr>'A SJR - DIU (2)'!Area_de_impressao</vt:lpstr>
      <vt:lpstr>'A SLZ - DIU'!Area_de_impressao</vt:lpstr>
      <vt:lpstr>'B PAÇO - NOT (3)'!Area_de_impressao</vt:lpstr>
      <vt:lpstr>'B SJR - NOT (2)'!Area_de_impressao</vt:lpstr>
      <vt:lpstr>'B SLZ - NOT'!Area_de_impressao</vt:lpstr>
      <vt:lpstr>'MEMORIA DE CAL'!Area_de_impressao</vt:lpstr>
      <vt:lpstr>RESUMO!Area_de_impressao</vt:lpstr>
      <vt:lpstr>'RESUMO (2)'!Area_de_impressao</vt:lpstr>
      <vt:lpstr>Uniformes!Area_de_impressao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Carla Aguiar</cp:lastModifiedBy>
  <cp:lastPrinted>2023-05-12T13:38:48Z</cp:lastPrinted>
  <dcterms:created xsi:type="dcterms:W3CDTF">2018-01-23T19:35:16Z</dcterms:created>
  <dcterms:modified xsi:type="dcterms:W3CDTF">2023-05-12T13:42:36Z</dcterms:modified>
</cp:coreProperties>
</file>