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codeName="EstaPastaDeTrabalho" defaultThemeVersion="124226"/>
  <xr:revisionPtr revIDLastSave="559" documentId="8_{741B729B-9715-4F56-8EE0-911DFC38CDCA}" xr6:coauthVersionLast="47" xr6:coauthVersionMax="47" xr10:uidLastSave="{DF18456C-E11C-4370-9454-BC740E9DE914}"/>
  <bookViews>
    <workbookView xWindow="-120" yWindow="-120" windowWidth="20730" windowHeight="11040" tabRatio="908" xr2:uid="{00000000-000D-0000-FFFF-FFFF00000000}"/>
  </bookViews>
  <sheets>
    <sheet name="BDI" sheetId="19" r:id="rId1"/>
    <sheet name="ENCARGOS SOCIAIS" sheetId="10" r:id="rId2"/>
  </sheets>
  <definedNames>
    <definedName name="_xlnm.Print_Area" localSheetId="0">BDI!$A$1:$J$54</definedName>
    <definedName name="_xlnm.Print_Area" localSheetId="1">'ENCARGOS SOCIAIS'!$A$1:$E$57</definedName>
    <definedName name="TipoOrçamento">"BASE"</definedName>
    <definedName name="_xlnm.Print_Titles" localSheetId="1">'ENCARGOS SOCIAIS'!$2:$4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9" l="1"/>
  <c r="F15" i="19"/>
  <c r="F14" i="19"/>
  <c r="F13" i="19"/>
  <c r="G22" i="19"/>
  <c r="G20" i="19" l="1"/>
  <c r="E19" i="10"/>
  <c r="E33" i="10"/>
  <c r="D19" i="10"/>
  <c r="D33" i="10"/>
  <c r="D42" i="10"/>
  <c r="L57" i="19"/>
  <c r="N57" i="19" s="1"/>
  <c r="N56" i="19"/>
  <c r="L51" i="19"/>
  <c r="L52" i="19" s="1"/>
  <c r="N50" i="19"/>
  <c r="L32" i="19"/>
  <c r="L33" i="19" s="1"/>
  <c r="N31" i="19"/>
  <c r="L26" i="19"/>
  <c r="L27" i="19" s="1"/>
  <c r="N24" i="19"/>
  <c r="L18" i="19"/>
  <c r="L20" i="19" s="1"/>
  <c r="N17" i="19"/>
  <c r="E17" i="19"/>
  <c r="A17" i="19"/>
  <c r="N16" i="19"/>
  <c r="E16" i="19"/>
  <c r="A16" i="19"/>
  <c r="N15" i="19"/>
  <c r="E15" i="19"/>
  <c r="A15" i="19"/>
  <c r="N14" i="19"/>
  <c r="E14" i="19"/>
  <c r="A14" i="19"/>
  <c r="N13" i="19"/>
  <c r="E13" i="19"/>
  <c r="H13" i="19" s="1"/>
  <c r="A13" i="19"/>
  <c r="N12" i="19"/>
  <c r="N11" i="19"/>
  <c r="L6" i="19"/>
  <c r="N6" i="19" s="1"/>
  <c r="N5" i="19"/>
  <c r="E42" i="10"/>
  <c r="N32" i="19"/>
  <c r="L58" i="19"/>
  <c r="N58" i="19" s="1"/>
  <c r="N26" i="19"/>
  <c r="N51" i="19"/>
  <c r="L59" i="19"/>
  <c r="N59" i="19" s="1"/>
  <c r="L28" i="19" l="1"/>
  <c r="N27" i="19"/>
  <c r="N52" i="19"/>
  <c r="L53" i="19"/>
  <c r="I14" i="19"/>
  <c r="N33" i="19"/>
  <c r="L36" i="19"/>
  <c r="N20" i="19"/>
  <c r="L21" i="19"/>
  <c r="N18" i="19"/>
  <c r="L7" i="19"/>
  <c r="L60" i="19"/>
  <c r="J14" i="19"/>
  <c r="I13" i="19"/>
  <c r="G40" i="10"/>
  <c r="E46" i="10"/>
  <c r="E47" i="10"/>
  <c r="D46" i="10"/>
  <c r="D47" i="10"/>
  <c r="J13" i="19"/>
  <c r="H14" i="19"/>
  <c r="L22" i="19" l="1"/>
  <c r="N21" i="19"/>
  <c r="N36" i="19"/>
  <c r="L37" i="19"/>
  <c r="L61" i="19"/>
  <c r="N61" i="19" s="1"/>
  <c r="N60" i="19"/>
  <c r="L54" i="19"/>
  <c r="N53" i="19"/>
  <c r="L8" i="19"/>
  <c r="N7" i="19"/>
  <c r="N28" i="19"/>
  <c r="L29" i="19"/>
  <c r="E50" i="10"/>
  <c r="E52" i="10" s="1"/>
  <c r="D50" i="10"/>
  <c r="D52" i="10" s="1"/>
  <c r="N54" i="19" l="1"/>
  <c r="L55" i="19"/>
  <c r="N55" i="19" s="1"/>
  <c r="L30" i="19"/>
  <c r="N30" i="19" s="1"/>
  <c r="N29" i="19"/>
  <c r="L38" i="19"/>
  <c r="N38" i="19" s="1"/>
  <c r="N37" i="19"/>
  <c r="I16" i="19"/>
  <c r="H15" i="19"/>
  <c r="J16" i="19"/>
  <c r="I15" i="19"/>
  <c r="J15" i="19"/>
  <c r="N8" i="19"/>
  <c r="L9" i="19"/>
  <c r="N22" i="19"/>
  <c r="L23" i="19"/>
  <c r="N23" i="19" s="1"/>
  <c r="N9" i="19" l="1"/>
  <c r="L10" i="19"/>
  <c r="N10" i="19" s="1"/>
  <c r="H16" i="19"/>
  <c r="H17" i="19" l="1"/>
  <c r="J17" i="19"/>
  <c r="I17" i="19"/>
  <c r="F21" i="19" l="1"/>
  <c r="F22" i="19"/>
  <c r="U31" i="19" l="1"/>
  <c r="S19" i="19" s="1"/>
</calcChain>
</file>

<file path=xl/sharedStrings.xml><?xml version="1.0" encoding="utf-8"?>
<sst xmlns="http://schemas.openxmlformats.org/spreadsheetml/2006/main" count="190" uniqueCount="118">
  <si>
    <t>ITEM</t>
  </si>
  <si>
    <t>L</t>
  </si>
  <si>
    <t>Conforme legislação tributária municipal, definir estimativa de percentual da base de cálculo para o ISS:</t>
  </si>
  <si>
    <t>Sobre a base de cálculo, definir a respectiva alíquota do ISS (entre 2% e 5%):</t>
  </si>
  <si>
    <t>-</t>
  </si>
  <si>
    <t>ISS</t>
  </si>
  <si>
    <t>AC</t>
  </si>
  <si>
    <t>COMPOSIÇÃO DO BDI - BENEFÍCIO E DESPESAS INDIRETAS</t>
  </si>
  <si>
    <t>SG</t>
  </si>
  <si>
    <t>R</t>
  </si>
  <si>
    <t>DF</t>
  </si>
  <si>
    <t>ENCARGOS SOCIAIS SOBRE A MÃO DE OBRA</t>
  </si>
  <si>
    <t>GRUPO A</t>
  </si>
  <si>
    <t>GRUPO B</t>
  </si>
  <si>
    <t>GRUPO C</t>
  </si>
  <si>
    <t>GRUPO D</t>
  </si>
  <si>
    <t>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</si>
  <si>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</si>
  <si>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</si>
  <si>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</si>
  <si>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</si>
  <si>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</si>
  <si>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</si>
  <si>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</si>
  <si>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</si>
  <si>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</si>
  <si>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</si>
  <si>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</si>
  <si>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</si>
  <si>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</si>
  <si>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Trabalho</t>
  </si>
  <si>
    <t>A8</t>
  </si>
  <si>
    <t>FGTS</t>
  </si>
  <si>
    <t>A9</t>
  </si>
  <si>
    <t>SECONCI</t>
  </si>
  <si>
    <t>DESCRIÇÃO</t>
  </si>
  <si>
    <t>COM DESONERAÇÃO</t>
  </si>
  <si>
    <t>HORISTA %</t>
  </si>
  <si>
    <t>MENSALISTA %</t>
  </si>
  <si>
    <t>Total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</si>
  <si>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</si>
  <si>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</si>
  <si>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</si>
  <si>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</si>
  <si>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</si>
  <si>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</si>
  <si>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</si>
  <si>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</si>
  <si>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</si>
  <si>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</si>
  <si>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</t>
  </si>
  <si>
    <t>Repouso Semanal Remunerado</t>
  </si>
  <si>
    <t>Feriados</t>
  </si>
  <si>
    <t>Auxílio-Enfermidade</t>
  </si>
  <si>
    <t>13º Salário</t>
  </si>
  <si>
    <t>Licença Paternidade</t>
  </si>
  <si>
    <t>Faltas Justificadas</t>
  </si>
  <si>
    <t>Dias de Chuvas</t>
  </si>
  <si>
    <t>Auxilio Acidente de Trabalho</t>
  </si>
  <si>
    <t>Férias Gozadas</t>
  </si>
  <si>
    <t>Salário Maternidade</t>
  </si>
  <si>
    <t>C1</t>
  </si>
  <si>
    <t>C2</t>
  </si>
  <si>
    <t>C3</t>
  </si>
  <si>
    <t>C4</t>
  </si>
  <si>
    <t>C5</t>
  </si>
  <si>
    <t>C</t>
  </si>
  <si>
    <t>Aviso Prévio Indenizado</t>
  </si>
  <si>
    <t>Aviso Prévio Trabalhado</t>
  </si>
  <si>
    <t>Depósito Rescisão Sem Justa Causa</t>
  </si>
  <si>
    <t>Indenização Adicional</t>
  </si>
  <si>
    <t>Férias Indenizadas</t>
  </si>
  <si>
    <t>D1</t>
  </si>
  <si>
    <t>D</t>
  </si>
  <si>
    <t>D2</t>
  </si>
  <si>
    <t>Reincidência de A sobre B</t>
  </si>
  <si>
    <t xml:space="preserve">Reincidência de A sobre Aviso Prévio Trabalhado + Reincidência de FGTS sobre Aviso Prévio Indenizado          </t>
  </si>
  <si>
    <t>TOTAL (A + B+ C + D)</t>
  </si>
  <si>
    <t>TIPO DE OBRA DO EMPREENDIMENTO</t>
  </si>
  <si>
    <t>DESONERAÇÃO</t>
  </si>
  <si>
    <t>Construção de Redes de Abastecimento de Água, Coleta de Esgoto</t>
  </si>
  <si>
    <t>BDI PAD</t>
  </si>
  <si>
    <t>MIN</t>
  </si>
  <si>
    <t>MED</t>
  </si>
  <si>
    <t>MAX</t>
  </si>
  <si>
    <t>Construção e Reforma de Edifícios</t>
  </si>
  <si>
    <t>Construção de Praças Urbanas, Rodovias, Ferrovias e recapeamento e pavimentação de vias urbanas</t>
  </si>
  <si>
    <t>Construção e Manutenção de Estações e Redes de Distribuição de Energia Elétrica</t>
  </si>
  <si>
    <t>Obras Portuárias, Marítimas e Fluviais</t>
  </si>
  <si>
    <t>Fornecimento de Materiais e Equipamentos (aquisição indireta - em conjunto com licitação de obras)</t>
  </si>
  <si>
    <t>Estudos e Projetos, Planos e Gerenciamento e outros correlatos</t>
  </si>
  <si>
    <t>K1</t>
  </si>
  <si>
    <t>K2</t>
  </si>
  <si>
    <t/>
  </si>
  <si>
    <t>K3</t>
  </si>
  <si>
    <t>Fornecimento de Materiais e Equipamentos (aquisição direta)</t>
  </si>
  <si>
    <t>CPRB</t>
  </si>
  <si>
    <t>Itens</t>
  </si>
  <si>
    <t>Siglas</t>
  </si>
  <si>
    <t>% Adotado</t>
  </si>
  <si>
    <t>Situação</t>
  </si>
  <si>
    <t>1º Quartil</t>
  </si>
  <si>
    <t>Médio</t>
  </si>
  <si>
    <t>3º Quartil</t>
  </si>
  <si>
    <t>CP</t>
  </si>
  <si>
    <t>Tributos (Contribuição Previdenciária sobre a Receita Bruta - 0% ou 4,5% - Desoneração)</t>
  </si>
  <si>
    <t>BDI SEM desoneração (Fórmula Acórdão TCU)</t>
  </si>
  <si>
    <t>BDI COM desoneração</t>
  </si>
  <si>
    <t>BDI DES</t>
  </si>
  <si>
    <t>pedir anexo</t>
  </si>
  <si>
    <t>anexo apresentado</t>
  </si>
  <si>
    <t>O valor da taxa do BDI é definido em conformidade com a metodologia adotada pelo TCU nos acórdãos 2369/2011 e 2622/2013:</t>
  </si>
  <si>
    <t>SIM</t>
  </si>
  <si>
    <t>Tributos (impostos COFINS 1,68%, e  PIS 0,36%)</t>
  </si>
  <si>
    <t>OK</t>
  </si>
  <si>
    <t>_______________________________________________________________
WBA ENGENHARIA E CONSTRUCOES LTDA 
WERNECK FERREIRA WOLTER 
Sócio-Administrador e Eng. Civil
CREA: 1121878121
CPF: 623.149.982-00</t>
  </si>
  <si>
    <t xml:space="preserve">
_______________________________________________________________
WBA ENGENHARIA E CONSTRUCOES LTDA 
WERNECK FERREIRA WOLTER 
Sócio-Administrador e Eng. Civil
CREA: 1121878121
CPF: 623.149.982-00</t>
  </si>
  <si>
    <t>Tributos (ISS, de acordo com o cálculo do simples nacional pelo faturamento dos ultimos 12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</si>
</sst>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_ "/>
    <numFmt numFmtId="166" formatCode="_-* #,##0.0000_-;\-* #,##0.0000_-;_-* &quot;-&quot;??_-;_-@_-"/>
    <numFmt numFmtId="167" formatCode="_([$€-2]* #,##0.00_);_([$€-2]* \(#,##0.00\);_([$€-2]* &quot;-&quot;??_)"/>
    <numFmt numFmtId="168" formatCode="_(&quot;R$ &quot;* #,##0.00_);_(&quot;R$ &quot;* \(#,##0.00\);_(&quot;R$ &quot;* &quot;-&quot;??_);_(@_)"/>
    <numFmt numFmtId="169" formatCode="_(* #,##0.00_);_(* \(#,##0.00\);_(* \-??_);_(@_)"/>
  </numFmts>
  <fonts count="23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134"/>
      <scheme val="minor"/>
    </font>
    <font>
      <b/>
      <sz val="11"/>
      <name val="Arial"/>
      <family val="2"/>
    </font>
    <font>
      <u/>
      <sz val="12"/>
      <name val="Arial"/>
      <family val="2"/>
    </font>
    <font>
      <sz val="9"/>
      <name val="Arial"/>
      <family val="2"/>
    </font>
    <font>
      <b/>
      <sz val="12"/>
      <color indexed="10"/>
      <name val="Arial"/>
      <family val="2"/>
    </font>
    <font>
      <i/>
      <sz val="12"/>
      <name val="Arial"/>
      <family val="2"/>
    </font>
    <font>
      <i/>
      <u/>
      <sz val="12"/>
      <name val="Arial"/>
      <family val="2"/>
    </font>
    <font>
      <b/>
      <sz val="12"/>
      <color indexed="12"/>
      <name val="Arial"/>
      <family val="2"/>
    </font>
    <font>
      <b/>
      <u/>
      <sz val="12"/>
      <name val="Arial"/>
      <family val="2"/>
    </font>
    <font>
      <sz val="12"/>
      <color indexed="9"/>
      <name val="Arial"/>
      <family val="2"/>
    </font>
    <font>
      <b/>
      <sz val="20"/>
      <name val="Arial"/>
      <family val="2"/>
    </font>
    <font>
      <b/>
      <sz val="1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gradientFill degree="270">
        <stop position="0">
          <color theme="0" tint="-0.34900967436750391"/>
        </stop>
        <stop position="1">
          <color theme="0"/>
        </stop>
      </gradientFill>
    </fill>
    <fill>
      <gradientFill degree="270">
        <stop position="0">
          <color theme="0" tint="-0.25098422193060094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theme="0" tint="-0.25098422193060094"/>
        </stop>
      </gradient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8" fillId="0" borderId="0"/>
    <xf numFmtId="4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/>
    <xf numFmtId="164" fontId="11" fillId="0" borderId="0" applyFont="0" applyFill="0" applyBorder="0" applyAlignment="0" applyProtection="0"/>
    <xf numFmtId="167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4" fillId="0" borderId="0"/>
    <xf numFmtId="43" fontId="3" fillId="0" borderId="0" applyFont="0" applyFill="0" applyBorder="0" applyAlignment="0" applyProtection="0"/>
    <xf numFmtId="0" fontId="3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9" fontId="5" fillId="0" borderId="0" applyFill="0" applyBorder="0" applyAlignment="0" applyProtection="0"/>
    <xf numFmtId="0" fontId="7" fillId="6" borderId="29" applyFont="0" applyBorder="0" applyAlignment="0">
      <alignment vertical="center"/>
    </xf>
    <xf numFmtId="0" fontId="7" fillId="7" borderId="29">
      <alignment vertical="center"/>
    </xf>
    <xf numFmtId="0" fontId="3" fillId="8" borderId="0" applyProtection="0"/>
  </cellStyleXfs>
  <cellXfs count="122">
    <xf numFmtId="0" fontId="0" fillId="0" borderId="0" xfId="0"/>
    <xf numFmtId="0" fontId="4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166" fontId="6" fillId="2" borderId="0" xfId="1" applyNumberFormat="1" applyFont="1" applyFill="1" applyBorder="1" applyAlignment="1">
      <alignment horizontal="left" vertical="center" wrapText="1"/>
    </xf>
    <xf numFmtId="166" fontId="9" fillId="2" borderId="0" xfId="1" applyNumberFormat="1" applyFont="1" applyFill="1" applyAlignment="1">
      <alignment vertical="center" wrapText="1"/>
    </xf>
    <xf numFmtId="0" fontId="12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vertical="center" wrapText="1"/>
    </xf>
    <xf numFmtId="10" fontId="6" fillId="4" borderId="7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right" vertical="center" wrapText="1"/>
    </xf>
    <xf numFmtId="0" fontId="7" fillId="2" borderId="18" xfId="0" applyFont="1" applyFill="1" applyBorder="1" applyAlignment="1">
      <alignment vertical="center" wrapText="1"/>
    </xf>
    <xf numFmtId="166" fontId="7" fillId="2" borderId="0" xfId="1" applyNumberFormat="1" applyFont="1" applyFill="1" applyBorder="1" applyAlignment="1">
      <alignment vertical="center" wrapText="1"/>
    </xf>
    <xf numFmtId="0" fontId="15" fillId="0" borderId="0" xfId="3" applyFont="1" applyAlignment="1">
      <alignment wrapText="1"/>
    </xf>
    <xf numFmtId="0" fontId="15" fillId="0" borderId="0" xfId="3" applyFont="1" applyAlignment="1">
      <alignment vertical="top" wrapText="1"/>
    </xf>
    <xf numFmtId="0" fontId="7" fillId="0" borderId="0" xfId="3" applyFont="1" applyAlignment="1">
      <alignment wrapText="1"/>
    </xf>
    <xf numFmtId="0" fontId="6" fillId="0" borderId="0" xfId="3" applyFont="1" applyAlignment="1">
      <alignment horizontal="center" wrapText="1"/>
    </xf>
    <xf numFmtId="0" fontId="6" fillId="0" borderId="7" xfId="3" applyFont="1" applyBorder="1" applyAlignment="1">
      <alignment horizontal="center" wrapText="1"/>
    </xf>
    <xf numFmtId="10" fontId="18" fillId="0" borderId="7" xfId="3" applyNumberFormat="1" applyFont="1" applyBorder="1" applyAlignment="1">
      <alignment horizontal="center" wrapText="1"/>
    </xf>
    <xf numFmtId="0" fontId="19" fillId="0" borderId="0" xfId="3" applyFont="1" applyAlignment="1">
      <alignment wrapText="1"/>
    </xf>
    <xf numFmtId="0" fontId="6" fillId="2" borderId="0" xfId="3" applyFont="1" applyFill="1" applyAlignment="1">
      <alignment wrapText="1"/>
    </xf>
    <xf numFmtId="0" fontId="7" fillId="2" borderId="0" xfId="3" applyFont="1" applyFill="1" applyAlignment="1">
      <alignment wrapText="1"/>
    </xf>
    <xf numFmtId="10" fontId="7" fillId="2" borderId="7" xfId="2" applyNumberFormat="1" applyFont="1" applyFill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1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4" fontId="6" fillId="0" borderId="7" xfId="3" applyNumberFormat="1" applyFont="1" applyBorder="1" applyAlignment="1">
      <alignment horizontal="center" vertical="center" wrapText="1"/>
    </xf>
    <xf numFmtId="10" fontId="7" fillId="0" borderId="7" xfId="3" applyNumberFormat="1" applyFont="1" applyBorder="1" applyAlignment="1">
      <alignment horizontal="center" vertical="center" wrapText="1"/>
    </xf>
    <xf numFmtId="0" fontId="20" fillId="0" borderId="0" xfId="3" applyFont="1" applyAlignment="1">
      <alignment horizontal="center" vertical="center" wrapText="1"/>
    </xf>
    <xf numFmtId="4" fontId="6" fillId="0" borderId="0" xfId="3" applyNumberFormat="1" applyFont="1" applyAlignment="1">
      <alignment horizontal="center" vertical="center" wrapText="1"/>
    </xf>
    <xf numFmtId="0" fontId="7" fillId="2" borderId="0" xfId="3" applyFont="1" applyFill="1" applyAlignment="1">
      <alignment horizontal="center" vertical="top" wrapText="1"/>
    </xf>
    <xf numFmtId="0" fontId="13" fillId="2" borderId="0" xfId="3" applyFont="1" applyFill="1" applyAlignment="1">
      <alignment horizontal="center" vertical="top" wrapText="1"/>
    </xf>
    <xf numFmtId="0" fontId="7" fillId="0" borderId="0" xfId="3" applyFont="1" applyAlignment="1" applyProtection="1">
      <alignment wrapText="1"/>
      <protection locked="0"/>
    </xf>
    <xf numFmtId="0" fontId="7" fillId="0" borderId="0" xfId="3" applyFont="1" applyAlignment="1">
      <alignment vertical="top" wrapText="1"/>
    </xf>
    <xf numFmtId="17" fontId="1" fillId="2" borderId="0" xfId="0" applyNumberFormat="1" applyFont="1" applyFill="1" applyAlignment="1">
      <alignment horizontal="left" vertical="center" wrapText="1"/>
    </xf>
    <xf numFmtId="10" fontId="1" fillId="2" borderId="0" xfId="2" applyNumberFormat="1" applyFont="1" applyFill="1" applyBorder="1" applyAlignment="1">
      <alignment horizontal="center" vertical="center" wrapText="1"/>
    </xf>
    <xf numFmtId="0" fontId="19" fillId="2" borderId="0" xfId="3" applyFont="1" applyFill="1" applyAlignment="1">
      <alignment wrapText="1"/>
    </xf>
    <xf numFmtId="10" fontId="9" fillId="2" borderId="0" xfId="0" applyNumberFormat="1" applyFont="1" applyFill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10" fontId="7" fillId="2" borderId="13" xfId="2" applyNumberFormat="1" applyFont="1" applyFill="1" applyBorder="1" applyAlignment="1">
      <alignment horizontal="center" vertical="center" wrapText="1"/>
    </xf>
    <xf numFmtId="10" fontId="20" fillId="9" borderId="0" xfId="3" applyNumberFormat="1" applyFont="1" applyFill="1" applyAlignment="1">
      <alignment horizontal="center" vertical="center" wrapText="1"/>
    </xf>
    <xf numFmtId="10" fontId="7" fillId="9" borderId="7" xfId="3" applyNumberFormat="1" applyFont="1" applyFill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left" vertical="center" wrapText="1"/>
    </xf>
    <xf numFmtId="0" fontId="6" fillId="2" borderId="0" xfId="3" applyFont="1" applyFill="1" applyAlignment="1">
      <alignment horizontal="center" wrapText="1"/>
    </xf>
    <xf numFmtId="0" fontId="16" fillId="2" borderId="0" xfId="0" applyFont="1" applyFill="1" applyAlignment="1">
      <alignment horizontal="right" vertical="center" wrapText="1"/>
    </xf>
    <xf numFmtId="0" fontId="17" fillId="2" borderId="0" xfId="0" applyFont="1" applyFill="1" applyAlignment="1">
      <alignment horizontal="center" wrapText="1"/>
    </xf>
    <xf numFmtId="0" fontId="16" fillId="2" borderId="0" xfId="0" quotePrefix="1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vertical="top" wrapText="1"/>
    </xf>
    <xf numFmtId="10" fontId="7" fillId="0" borderId="11" xfId="3" applyNumberFormat="1" applyFont="1" applyBorder="1" applyAlignment="1">
      <alignment horizontal="center" vertical="center" wrapText="1"/>
    </xf>
    <xf numFmtId="10" fontId="7" fillId="0" borderId="27" xfId="3" applyNumberFormat="1" applyFont="1" applyBorder="1" applyAlignment="1">
      <alignment horizontal="center" vertical="center" wrapText="1"/>
    </xf>
    <xf numFmtId="10" fontId="7" fillId="0" borderId="10" xfId="3" applyNumberFormat="1" applyFont="1" applyBorder="1" applyAlignment="1">
      <alignment horizontal="center" vertical="center" wrapText="1"/>
    </xf>
    <xf numFmtId="0" fontId="22" fillId="0" borderId="1" xfId="26" applyFont="1" applyBorder="1" applyAlignment="1">
      <alignment horizontal="center" vertical="center" wrapText="1"/>
    </xf>
    <xf numFmtId="0" fontId="22" fillId="0" borderId="2" xfId="26" applyFont="1" applyBorder="1" applyAlignment="1">
      <alignment horizontal="center" vertical="center" wrapText="1"/>
    </xf>
    <xf numFmtId="0" fontId="22" fillId="0" borderId="3" xfId="26" applyFont="1" applyBorder="1" applyAlignment="1">
      <alignment horizontal="center" vertical="center" wrapText="1"/>
    </xf>
    <xf numFmtId="0" fontId="22" fillId="0" borderId="4" xfId="26" applyFont="1" applyBorder="1" applyAlignment="1">
      <alignment horizontal="center" vertical="center" wrapText="1"/>
    </xf>
    <xf numFmtId="0" fontId="22" fillId="0" borderId="5" xfId="26" applyFont="1" applyBorder="1" applyAlignment="1">
      <alignment horizontal="center" vertical="center" wrapText="1"/>
    </xf>
    <xf numFmtId="0" fontId="22" fillId="0" borderId="6" xfId="26" applyFont="1" applyBorder="1" applyAlignment="1">
      <alignment horizontal="center" vertical="center" wrapText="1"/>
    </xf>
    <xf numFmtId="0" fontId="6" fillId="0" borderId="7" xfId="26" applyFont="1" applyBorder="1" applyAlignment="1">
      <alignment horizontal="left" vertical="top" wrapText="1"/>
    </xf>
    <xf numFmtId="0" fontId="15" fillId="0" borderId="0" xfId="3" applyFont="1" applyAlignment="1">
      <alignment horizontal="center" vertical="top" wrapText="1"/>
    </xf>
    <xf numFmtId="0" fontId="20" fillId="0" borderId="0" xfId="3" applyFont="1" applyAlignment="1">
      <alignment horizontal="left" vertical="center" wrapText="1"/>
    </xf>
    <xf numFmtId="2" fontId="18" fillId="0" borderId="17" xfId="3" applyNumberFormat="1" applyFont="1" applyBorder="1" applyAlignment="1">
      <alignment horizontal="center" vertical="center" wrapText="1"/>
    </xf>
    <xf numFmtId="0" fontId="7" fillId="2" borderId="0" xfId="3" applyFont="1" applyFill="1" applyAlignment="1">
      <alignment horizontal="center" vertical="center" wrapText="1"/>
    </xf>
    <xf numFmtId="4" fontId="6" fillId="0" borderId="7" xfId="3" applyNumberFormat="1" applyFont="1" applyBorder="1" applyAlignment="1">
      <alignment horizontal="center" vertical="center" wrapText="1"/>
    </xf>
    <xf numFmtId="0" fontId="6" fillId="2" borderId="27" xfId="3" applyFont="1" applyFill="1" applyBorder="1" applyAlignment="1">
      <alignment horizontal="center" wrapText="1"/>
    </xf>
    <xf numFmtId="168" fontId="7" fillId="3" borderId="7" xfId="25" applyFont="1" applyFill="1" applyBorder="1" applyAlignment="1" applyProtection="1">
      <alignment horizontal="left" wrapText="1"/>
      <protection locked="0"/>
    </xf>
    <xf numFmtId="0" fontId="7" fillId="0" borderId="7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left" wrapText="1"/>
    </xf>
    <xf numFmtId="10" fontId="7" fillId="3" borderId="7" xfId="3" applyNumberFormat="1" applyFont="1" applyFill="1" applyBorder="1" applyAlignment="1" applyProtection="1">
      <alignment horizontal="center" wrapText="1"/>
      <protection locked="0"/>
    </xf>
    <xf numFmtId="0" fontId="7" fillId="2" borderId="27" xfId="3" applyFont="1" applyFill="1" applyBorder="1" applyAlignment="1">
      <alignment horizontal="center" wrapText="1"/>
    </xf>
    <xf numFmtId="0" fontId="6" fillId="0" borderId="7" xfId="3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49" fontId="6" fillId="3" borderId="1" xfId="3" applyNumberFormat="1" applyFont="1" applyFill="1" applyBorder="1" applyAlignment="1">
      <alignment horizontal="center" vertical="center" wrapText="1"/>
    </xf>
    <xf numFmtId="49" fontId="6" fillId="3" borderId="2" xfId="3" applyNumberFormat="1" applyFont="1" applyFill="1" applyBorder="1" applyAlignment="1">
      <alignment horizontal="center" vertical="center" wrapText="1"/>
    </xf>
    <xf numFmtId="49" fontId="6" fillId="3" borderId="18" xfId="3" applyNumberFormat="1" applyFont="1" applyFill="1" applyBorder="1" applyAlignment="1">
      <alignment horizontal="center" vertical="center" wrapText="1"/>
    </xf>
    <xf numFmtId="49" fontId="6" fillId="3" borderId="0" xfId="3" applyNumberFormat="1" applyFont="1" applyFill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49" fontId="6" fillId="3" borderId="24" xfId="3" applyNumberFormat="1" applyFont="1" applyFill="1" applyBorder="1" applyAlignment="1">
      <alignment horizontal="center" vertical="center" wrapText="1"/>
    </xf>
    <xf numFmtId="49" fontId="6" fillId="3" borderId="23" xfId="3" applyNumberFormat="1" applyFont="1" applyFill="1" applyBorder="1" applyAlignment="1">
      <alignment horizontal="center" vertical="center" wrapText="1"/>
    </xf>
    <xf numFmtId="49" fontId="6" fillId="3" borderId="8" xfId="3" applyNumberFormat="1" applyFont="1" applyFill="1" applyBorder="1" applyAlignment="1">
      <alignment horizontal="center" vertical="center" wrapText="1"/>
    </xf>
    <xf numFmtId="49" fontId="6" fillId="3" borderId="9" xfId="3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26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10" fontId="7" fillId="2" borderId="25" xfId="2" applyNumberFormat="1" applyFont="1" applyFill="1" applyBorder="1" applyAlignment="1">
      <alignment horizontal="center" vertical="center" wrapText="1"/>
    </xf>
    <xf numFmtId="10" fontId="7" fillId="2" borderId="30" xfId="2" applyNumberFormat="1" applyFont="1" applyFill="1" applyBorder="1" applyAlignment="1">
      <alignment horizontal="center" vertical="center" wrapText="1"/>
    </xf>
    <xf numFmtId="10" fontId="7" fillId="2" borderId="13" xfId="2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0" fontId="6" fillId="5" borderId="8" xfId="0" applyNumberFormat="1" applyFont="1" applyFill="1" applyBorder="1" applyAlignment="1">
      <alignment horizontal="center" vertical="center" wrapText="1"/>
    </xf>
    <xf numFmtId="10" fontId="6" fillId="5" borderId="9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</cellXfs>
  <cellStyles count="39">
    <cellStyle name="Estilo 1" xfId="36" xr:uid="{00000000-0005-0000-0000-000000000000}"/>
    <cellStyle name="Estilo 2" xfId="37" xr:uid="{00000000-0005-0000-0000-000001000000}"/>
    <cellStyle name="Estilo 3" xfId="38" xr:uid="{00000000-0005-0000-0000-000002000000}"/>
    <cellStyle name="Euro" xfId="14" xr:uid="{00000000-0005-0000-0000-000003000000}"/>
    <cellStyle name="Excel Built-in Normal" xfId="5" xr:uid="{00000000-0005-0000-0000-000004000000}"/>
    <cellStyle name="Moeda 2" xfId="6" xr:uid="{00000000-0005-0000-0000-000006000000}"/>
    <cellStyle name="Moeda 2 2" xfId="15" xr:uid="{00000000-0005-0000-0000-000007000000}"/>
    <cellStyle name="Moeda 2 3" xfId="30" xr:uid="{00000000-0005-0000-0000-000008000000}"/>
    <cellStyle name="Moeda 3" xfId="29" xr:uid="{00000000-0005-0000-0000-000009000000}"/>
    <cellStyle name="Moeda_Composicao BDI v2.1" xfId="25" xr:uid="{00000000-0005-0000-0000-00000A000000}"/>
    <cellStyle name="Normal" xfId="0" builtinId="0"/>
    <cellStyle name="Normal 2" xfId="3" xr:uid="{00000000-0005-0000-0000-00000C000000}"/>
    <cellStyle name="Normal 2 2" xfId="12" xr:uid="{00000000-0005-0000-0000-00000D000000}"/>
    <cellStyle name="Normal 2 2 2" xfId="16" xr:uid="{00000000-0005-0000-0000-00000E000000}"/>
    <cellStyle name="Normal 3" xfId="8" xr:uid="{00000000-0005-0000-0000-00000F000000}"/>
    <cellStyle name="Normal 3 2" xfId="28" xr:uid="{00000000-0005-0000-0000-000010000000}"/>
    <cellStyle name="Normal 3 2 2" xfId="34" xr:uid="{00000000-0005-0000-0000-000011000000}"/>
    <cellStyle name="Normal 4" xfId="17" xr:uid="{00000000-0005-0000-0000-000012000000}"/>
    <cellStyle name="Normal_FICHA DE VERIFICAÇÃO PRELIMINAR - Plano R" xfId="26" xr:uid="{00000000-0005-0000-0000-000013000000}"/>
    <cellStyle name="Porcentagem" xfId="2" builtinId="5"/>
    <cellStyle name="Porcentagem 2" xfId="18" xr:uid="{00000000-0005-0000-0000-000015000000}"/>
    <cellStyle name="Porcentagem 3" xfId="32" xr:uid="{00000000-0005-0000-0000-000016000000}"/>
    <cellStyle name="Separador de milhares 2" xfId="19" xr:uid="{00000000-0005-0000-0000-000017000000}"/>
    <cellStyle name="Separador de milhares 3" xfId="20" xr:uid="{00000000-0005-0000-0000-000018000000}"/>
    <cellStyle name="Separador de milhares 3 2 2" xfId="10" xr:uid="{00000000-0005-0000-0000-000019000000}"/>
    <cellStyle name="Vírgula" xfId="1" builtinId="3"/>
    <cellStyle name="Vírgula 2" xfId="9" xr:uid="{00000000-0005-0000-0000-00001B000000}"/>
    <cellStyle name="Vírgula 2 2" xfId="22" xr:uid="{00000000-0005-0000-0000-00001C000000}"/>
    <cellStyle name="Vírgula 2 3" xfId="35" xr:uid="{00000000-0005-0000-0000-00001D000000}"/>
    <cellStyle name="Vírgula 3" xfId="23" xr:uid="{00000000-0005-0000-0000-00001E000000}"/>
    <cellStyle name="Vírgula 3 2" xfId="7" xr:uid="{00000000-0005-0000-0000-00001F000000}"/>
    <cellStyle name="Vírgula 4" xfId="21" xr:uid="{00000000-0005-0000-0000-000020000000}"/>
    <cellStyle name="Vírgula 4 2" xfId="11" xr:uid="{00000000-0005-0000-0000-000021000000}"/>
    <cellStyle name="Vírgula 5" xfId="13" xr:uid="{00000000-0005-0000-0000-000022000000}"/>
    <cellStyle name="Vírgula 5 2" xfId="33" xr:uid="{00000000-0005-0000-0000-000023000000}"/>
    <cellStyle name="Vírgula 6" xfId="4" xr:uid="{00000000-0005-0000-0000-000024000000}"/>
    <cellStyle name="Vírgula 7" xfId="24" xr:uid="{00000000-0005-0000-0000-000025000000}"/>
    <cellStyle name="Vírgula 8" xfId="27" xr:uid="{00000000-0005-0000-0000-000026000000}"/>
    <cellStyle name="Vírgula 9" xfId="31" xr:uid="{00000000-0005-0000-0000-000027000000}"/>
  </cellStyles>
  <dxfs count="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47"/>
      <color rgb="FFFFFF66"/>
      <color rgb="FFE60000"/>
      <color rgb="FFD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28575</xdr:colOff>
      <xdr:row>2</xdr:row>
      <xdr:rowOff>18643</xdr:rowOff>
    </xdr:to>
    <xdr:sp macro="" textlink="">
      <xdr:nvSpPr>
        <xdr:cNvPr id="2" name="Objeto 476" hidden="1">
          <a:extLst>
            <a:ext uri="{63B3BB69-23CF-44E3-9099-C40C66FF867C}">
              <a14:compatExt xmlns:a14="http://schemas.microsoft.com/office/drawing/2010/main" spid="_x0000_s156124"/>
            </a:ext>
            <a:ext uri="{FF2B5EF4-FFF2-40B4-BE49-F238E27FC236}">
              <a16:creationId xmlns:a16="http://schemas.microsoft.com/office/drawing/2014/main" id="{47F4310E-A269-4AC9-82A3-40B1C1DAA67C}"/>
            </a:ext>
          </a:extLst>
        </xdr:cNvPr>
        <xdr:cNvSpPr/>
      </xdr:nvSpPr>
      <xdr:spPr bwMode="auto">
        <a:xfrm>
          <a:off x="28575" y="400050"/>
          <a:ext cx="0" cy="4073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28575</xdr:colOff>
      <xdr:row>0</xdr:row>
      <xdr:rowOff>0</xdr:rowOff>
    </xdr:from>
    <xdr:to>
      <xdr:col>0</xdr:col>
      <xdr:colOff>28575</xdr:colOff>
      <xdr:row>2</xdr:row>
      <xdr:rowOff>18643</xdr:rowOff>
    </xdr:to>
    <xdr:pic>
      <xdr:nvPicPr>
        <xdr:cNvPr id="3" name="Imagem 476">
          <a:extLst>
            <a:ext uri="{FF2B5EF4-FFF2-40B4-BE49-F238E27FC236}">
              <a16:creationId xmlns:a16="http://schemas.microsoft.com/office/drawing/2014/main" id="{71F9D7FD-0839-4731-936B-2FBF8AD4A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00050"/>
          <a:ext cx="0" cy="4073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28575</xdr:colOff>
      <xdr:row>0</xdr:row>
      <xdr:rowOff>0</xdr:rowOff>
    </xdr:from>
    <xdr:ext cx="0" cy="399931"/>
    <xdr:sp macro="" textlink="">
      <xdr:nvSpPr>
        <xdr:cNvPr id="4" name="Objeto 476" hidden="1">
          <a:extLst>
            <a:ext uri="{63B3BB69-23CF-44E3-9099-C40C66FF867C}">
              <a14:compatExt xmlns:a14="http://schemas.microsoft.com/office/drawing/2010/main" spid="_x0000_s156124"/>
            </a:ext>
            <a:ext uri="{FF2B5EF4-FFF2-40B4-BE49-F238E27FC236}">
              <a16:creationId xmlns:a16="http://schemas.microsoft.com/office/drawing/2014/main" id="{D987D33B-EECD-4B9A-B7B8-274C12CCA025}"/>
            </a:ext>
          </a:extLst>
        </xdr:cNvPr>
        <xdr:cNvSpPr/>
      </xdr:nvSpPr>
      <xdr:spPr bwMode="auto">
        <a:xfrm>
          <a:off x="28575" y="419100"/>
          <a:ext cx="0" cy="3999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28575</xdr:colOff>
      <xdr:row>0</xdr:row>
      <xdr:rowOff>0</xdr:rowOff>
    </xdr:from>
    <xdr:ext cx="0" cy="399931"/>
    <xdr:pic>
      <xdr:nvPicPr>
        <xdr:cNvPr id="5" name="Imagem 476">
          <a:extLst>
            <a:ext uri="{FF2B5EF4-FFF2-40B4-BE49-F238E27FC236}">
              <a16:creationId xmlns:a16="http://schemas.microsoft.com/office/drawing/2014/main" id="{444DFDA6-4A29-4D80-85FD-72247B1B3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19100"/>
          <a:ext cx="0" cy="3999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764320</xdr:colOff>
      <xdr:row>25</xdr:row>
      <xdr:rowOff>187137</xdr:rowOff>
    </xdr:from>
    <xdr:ext cx="4955722" cy="7524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1858A48C-5ECE-49FB-8BB2-CA1B3CC47FB7}"/>
                </a:ext>
              </a:extLst>
            </xdr:cNvPr>
            <xdr:cNvSpPr txBox="1"/>
          </xdr:nvSpPr>
          <xdr:spPr>
            <a:xfrm>
              <a:off x="2758967" y="6910666"/>
              <a:ext cx="4955722" cy="752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m:rPr>
                      <m:sty m:val="p"/>
                    </m:rPr>
                    <a:rPr lang="pt-BR" sz="2400" b="0" i="0">
                      <a:solidFill>
                        <a:sysClr val="windowText" lastClr="000000"/>
                      </a:solidFill>
                      <a:latin typeface="Cambria Math" panose="02040503050406030204" pitchFamily="18" charset="0"/>
                    </a:rPr>
                    <m:t>BDI</m:t>
                  </m:r>
                  <m:r>
                    <a:rPr lang="pt-BR" sz="2400" b="0" i="0">
                      <a:solidFill>
                        <a:sysClr val="windowText" lastClr="000000"/>
                      </a:solidFill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pt-BR" sz="2400" b="0" i="1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</m:ctrlPr>
                    </m:fPr>
                    <m:num>
                      <m:d>
                        <m:dPr>
                          <m:ctrlPr>
                            <a:rPr lang="pt-BR" sz="2400" b="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1+</m:t>
                          </m:r>
                          <m:r>
                            <m:rPr>
                              <m:sty m:val="p"/>
                            </m:rP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AC</m:t>
                          </m:r>
                          <m: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+</m:t>
                          </m:r>
                          <m:r>
                            <m:rPr>
                              <m:sty m:val="p"/>
                            </m:rP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S</m:t>
                          </m:r>
                          <m: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+</m:t>
                          </m:r>
                          <m:r>
                            <m:rPr>
                              <m:sty m:val="p"/>
                            </m:rP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R</m:t>
                          </m:r>
                          <m: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+</m:t>
                          </m:r>
                          <m:r>
                            <m:rPr>
                              <m:sty m:val="p"/>
                            </m:rP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G</m:t>
                          </m:r>
                        </m:e>
                      </m:d>
                      <m:r>
                        <a:rPr lang="pt-BR" sz="2400" b="0" i="0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.</m:t>
                      </m:r>
                      <m:d>
                        <m:dPr>
                          <m:ctrlPr>
                            <a:rPr lang="pt-BR" sz="2400" b="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1+</m:t>
                          </m:r>
                          <m:r>
                            <m:rPr>
                              <m:sty m:val="p"/>
                            </m:rP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DF</m:t>
                          </m:r>
                        </m:e>
                      </m:d>
                      <m:r>
                        <a:rPr lang="pt-BR" sz="2400" b="0" i="0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.</m:t>
                      </m:r>
                      <m:d>
                        <m:dPr>
                          <m:ctrlPr>
                            <a:rPr lang="pt-BR" sz="2400" b="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1+</m:t>
                          </m:r>
                          <m:r>
                            <m:rPr>
                              <m:sty m:val="p"/>
                            </m:rPr>
                            <a:rPr lang="pt-BR" sz="2400" b="0" i="0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L</m:t>
                          </m:r>
                        </m:e>
                      </m:d>
                    </m:num>
                    <m:den>
                      <m:r>
                        <a:rPr lang="pt-BR" sz="2400" b="0" i="0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(1−</m:t>
                      </m:r>
                      <m:r>
                        <m:rPr>
                          <m:sty m:val="p"/>
                        </m:rPr>
                        <a:rPr lang="pt-BR" sz="2400" b="0" i="0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I</m:t>
                      </m:r>
                      <m:r>
                        <a:rPr lang="pt-BR" sz="2400" b="0" i="0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)</m:t>
                      </m:r>
                    </m:den>
                  </m:f>
                  <m:r>
                    <a:rPr lang="pt-BR" sz="2400" b="0" i="0">
                      <a:solidFill>
                        <a:sysClr val="windowText" lastClr="000000"/>
                      </a:solidFill>
                      <a:latin typeface="Cambria Math" panose="02040503050406030204" pitchFamily="18" charset="0"/>
                    </a:rPr>
                    <m:t> −1</m:t>
                  </m:r>
                </m:oMath>
              </a14:m>
              <a:r>
                <a:rPr lang="pt-BR" sz="1400" b="0" i="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 </a:t>
              </a:r>
            </a:p>
            <a:p>
              <a:endParaRPr lang="pt-BR" sz="1100" b="0" i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1858A48C-5ECE-49FB-8BB2-CA1B3CC47FB7}"/>
                </a:ext>
              </a:extLst>
            </xdr:cNvPr>
            <xdr:cNvSpPr txBox="1"/>
          </xdr:nvSpPr>
          <xdr:spPr>
            <a:xfrm>
              <a:off x="2758967" y="6910666"/>
              <a:ext cx="4955722" cy="752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24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BDI=((1+AC+S+R+G).(1+DF).(1+L))/((1−I))  −1</a:t>
              </a:r>
              <a:r>
                <a:rPr lang="pt-BR" sz="1400" b="0" i="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 </a:t>
              </a:r>
            </a:p>
            <a:p>
              <a:endParaRPr lang="pt-BR" sz="1100" b="0" i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twoCellAnchor editAs="oneCell">
    <xdr:from>
      <xdr:col>0</xdr:col>
      <xdr:colOff>28575</xdr:colOff>
      <xdr:row>0</xdr:row>
      <xdr:rowOff>0</xdr:rowOff>
    </xdr:from>
    <xdr:to>
      <xdr:col>0</xdr:col>
      <xdr:colOff>28575</xdr:colOff>
      <xdr:row>2</xdr:row>
      <xdr:rowOff>3058</xdr:rowOff>
    </xdr:to>
    <xdr:sp macro="" textlink="">
      <xdr:nvSpPr>
        <xdr:cNvPr id="8" name="Objeto 476" hidden="1">
          <a:extLst>
            <a:ext uri="{63B3BB69-23CF-44E3-9099-C40C66FF867C}">
              <a14:compatExt xmlns:a14="http://schemas.microsoft.com/office/drawing/2010/main" spid="_x0000_s156124"/>
            </a:ext>
            <a:ext uri="{FF2B5EF4-FFF2-40B4-BE49-F238E27FC236}">
              <a16:creationId xmlns:a16="http://schemas.microsoft.com/office/drawing/2014/main" id="{E993F10F-697C-488A-AC06-D2F6351ED918}"/>
            </a:ext>
          </a:extLst>
        </xdr:cNvPr>
        <xdr:cNvSpPr/>
      </xdr:nvSpPr>
      <xdr:spPr bwMode="auto">
        <a:xfrm>
          <a:off x="28575" y="1019175"/>
          <a:ext cx="0" cy="3917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28575</xdr:colOff>
      <xdr:row>0</xdr:row>
      <xdr:rowOff>0</xdr:rowOff>
    </xdr:from>
    <xdr:to>
      <xdr:col>0</xdr:col>
      <xdr:colOff>28575</xdr:colOff>
      <xdr:row>2</xdr:row>
      <xdr:rowOff>3058</xdr:rowOff>
    </xdr:to>
    <xdr:pic>
      <xdr:nvPicPr>
        <xdr:cNvPr id="9" name="Imagem 476">
          <a:extLst>
            <a:ext uri="{FF2B5EF4-FFF2-40B4-BE49-F238E27FC236}">
              <a16:creationId xmlns:a16="http://schemas.microsoft.com/office/drawing/2014/main" id="{647E56B5-981F-4329-9A1E-28C933837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019175"/>
          <a:ext cx="0" cy="3917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476250</xdr:colOff>
      <xdr:row>31</xdr:row>
      <xdr:rowOff>27214</xdr:rowOff>
    </xdr:from>
    <xdr:to>
      <xdr:col>8</xdr:col>
      <xdr:colOff>381000</xdr:colOff>
      <xdr:row>41</xdr:row>
      <xdr:rowOff>112683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7042394D-1A5A-F376-E31B-61A982962C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214" y="6599464"/>
          <a:ext cx="6408965" cy="2126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72"/>
  <sheetViews>
    <sheetView tabSelected="1" view="pageBreakPreview" zoomScale="70" zoomScaleNormal="85" zoomScaleSheetLayoutView="70" workbookViewId="0">
      <selection activeCell="F22" sqref="F22"/>
    </sheetView>
  </sheetViews>
  <sheetFormatPr defaultColWidth="0" defaultRowHeight="15"/>
  <cols>
    <col min="1" max="1" width="16.140625" style="18" bestFit="1" customWidth="1"/>
    <col min="2" max="2" width="11.5703125" style="18" customWidth="1"/>
    <col min="3" max="3" width="17.140625" style="18" customWidth="1"/>
    <col min="4" max="4" width="17" style="18" customWidth="1"/>
    <col min="5" max="5" width="10.7109375" style="18" bestFit="1" customWidth="1"/>
    <col min="6" max="6" width="13.5703125" style="18" bestFit="1" customWidth="1"/>
    <col min="7" max="9" width="13.7109375" style="18" customWidth="1"/>
    <col min="10" max="11" width="13.42578125" style="18" customWidth="1"/>
    <col min="12" max="12" width="114.42578125" style="18" bestFit="1" customWidth="1"/>
    <col min="13" max="13" width="10.7109375" style="18" bestFit="1" customWidth="1"/>
    <col min="14" max="14" width="124.7109375" style="18" bestFit="1" customWidth="1"/>
    <col min="15" max="15" width="0.28515625" style="18" hidden="1" customWidth="1"/>
    <col min="16" max="18" width="9.28515625" style="18" bestFit="1" customWidth="1"/>
    <col min="19" max="19" width="0.28515625" style="18" hidden="1" customWidth="1"/>
    <col min="20" max="20" width="2.28515625" style="18" hidden="1" customWidth="1"/>
    <col min="21" max="21" width="8.85546875" style="18" bestFit="1" customWidth="1"/>
    <col min="22" max="22" width="22.140625" style="18" bestFit="1" customWidth="1"/>
    <col min="23" max="16384" width="9.140625" style="18" hidden="1"/>
  </cols>
  <sheetData>
    <row r="1" spans="1:28" s="24" customFormat="1" ht="16.5" thickBot="1">
      <c r="A1" s="1"/>
      <c r="B1" s="1"/>
      <c r="C1" s="40"/>
      <c r="D1" s="40"/>
      <c r="E1" s="40"/>
      <c r="F1" s="40"/>
      <c r="G1" s="1"/>
      <c r="H1" s="1"/>
      <c r="I1" s="41"/>
      <c r="J1" s="41"/>
      <c r="K1" s="42"/>
    </row>
    <row r="2" spans="1:28">
      <c r="A2" s="64" t="s">
        <v>7</v>
      </c>
      <c r="B2" s="65"/>
      <c r="C2" s="65"/>
      <c r="D2" s="65"/>
      <c r="E2" s="65"/>
      <c r="F2" s="65"/>
      <c r="G2" s="65"/>
      <c r="H2" s="65"/>
      <c r="I2" s="65"/>
      <c r="J2" s="66"/>
    </row>
    <row r="3" spans="1:28" ht="15.75" thickBot="1">
      <c r="A3" s="67"/>
      <c r="B3" s="68"/>
      <c r="C3" s="68"/>
      <c r="D3" s="68"/>
      <c r="E3" s="68"/>
      <c r="F3" s="68"/>
      <c r="G3" s="68"/>
      <c r="H3" s="68"/>
      <c r="I3" s="68"/>
      <c r="J3" s="69"/>
    </row>
    <row r="4" spans="1:28" ht="15.75">
      <c r="A4" s="23"/>
      <c r="B4" s="23"/>
      <c r="C4" s="23"/>
      <c r="D4" s="23"/>
      <c r="E4" s="23"/>
      <c r="F4" s="23"/>
      <c r="G4" s="23"/>
      <c r="H4" s="23"/>
      <c r="I4" s="23"/>
      <c r="J4" s="23"/>
      <c r="P4" s="19" t="s">
        <v>82</v>
      </c>
      <c r="Q4" s="19" t="s">
        <v>83</v>
      </c>
      <c r="R4" s="19" t="s">
        <v>84</v>
      </c>
    </row>
    <row r="5" spans="1:28" ht="15.75">
      <c r="A5" s="70" t="s">
        <v>78</v>
      </c>
      <c r="B5" s="70"/>
      <c r="C5" s="70"/>
      <c r="D5" s="70"/>
      <c r="E5" s="70"/>
      <c r="F5" s="70"/>
      <c r="G5" s="70"/>
      <c r="H5" s="70"/>
      <c r="I5" s="70" t="s">
        <v>79</v>
      </c>
      <c r="J5" s="70"/>
      <c r="L5" s="18" t="s">
        <v>85</v>
      </c>
      <c r="M5" s="20" t="s">
        <v>6</v>
      </c>
      <c r="N5" s="18" t="str">
        <f>CONCATENATE(L5,"-",M5)</f>
        <v>Construção e Reforma de Edifícios-AC</v>
      </c>
      <c r="P5" s="21">
        <v>0.03</v>
      </c>
      <c r="Q5" s="21">
        <v>0.04</v>
      </c>
      <c r="R5" s="21">
        <v>5.5E-2</v>
      </c>
    </row>
    <row r="6" spans="1:28" ht="15.75">
      <c r="A6" s="77" t="s">
        <v>85</v>
      </c>
      <c r="B6" s="77"/>
      <c r="C6" s="77"/>
      <c r="D6" s="77"/>
      <c r="E6" s="77"/>
      <c r="F6" s="77"/>
      <c r="G6" s="77"/>
      <c r="H6" s="77"/>
      <c r="I6" s="78" t="s">
        <v>112</v>
      </c>
      <c r="J6" s="78"/>
      <c r="L6" s="18" t="str">
        <f>L5</f>
        <v>Construção e Reforma de Edifícios</v>
      </c>
      <c r="M6" s="20" t="s">
        <v>8</v>
      </c>
      <c r="N6" s="18" t="str">
        <f>CONCATENATE(L6,"-",M6)</f>
        <v>Construção e Reforma de Edifícios-SG</v>
      </c>
      <c r="P6" s="21">
        <v>8.0000000000000002E-3</v>
      </c>
      <c r="Q6" s="21">
        <v>8.0000000000000002E-3</v>
      </c>
      <c r="R6" s="21">
        <v>0.01</v>
      </c>
    </row>
    <row r="7" spans="1:28" ht="15.75">
      <c r="A7" s="76"/>
      <c r="B7" s="76"/>
      <c r="C7" s="76"/>
      <c r="D7" s="76"/>
      <c r="E7" s="76"/>
      <c r="F7" s="76"/>
      <c r="G7" s="76"/>
      <c r="H7" s="76"/>
      <c r="I7" s="76"/>
      <c r="J7" s="76"/>
      <c r="L7" s="18" t="str">
        <f>L6</f>
        <v>Construção e Reforma de Edifícios</v>
      </c>
      <c r="M7" s="20" t="s">
        <v>9</v>
      </c>
      <c r="N7" s="18" t="str">
        <f t="shared" ref="N7:N61" si="0">CONCATENATE(L7,"-",M7)</f>
        <v>Construção e Reforma de Edifícios-R</v>
      </c>
      <c r="P7" s="21">
        <v>9.7000000000000003E-3</v>
      </c>
      <c r="Q7" s="21">
        <v>1.2699999999999999E-2</v>
      </c>
      <c r="R7" s="21">
        <v>1.2699999999999999E-2</v>
      </c>
    </row>
    <row r="8" spans="1:28" ht="15.75">
      <c r="A8" s="79" t="s">
        <v>2</v>
      </c>
      <c r="B8" s="79"/>
      <c r="C8" s="79"/>
      <c r="D8" s="79"/>
      <c r="E8" s="79"/>
      <c r="F8" s="79"/>
      <c r="G8" s="79"/>
      <c r="H8" s="79"/>
      <c r="I8" s="80">
        <v>1</v>
      </c>
      <c r="J8" s="80"/>
      <c r="K8" s="22"/>
      <c r="L8" s="18" t="str">
        <f>L7</f>
        <v>Construção e Reforma de Edifícios</v>
      </c>
      <c r="M8" s="20" t="s">
        <v>10</v>
      </c>
      <c r="N8" s="18" t="str">
        <f t="shared" si="0"/>
        <v>Construção e Reforma de Edifícios-DF</v>
      </c>
      <c r="P8" s="21">
        <v>5.8999999999999999E-3</v>
      </c>
      <c r="Q8" s="21">
        <v>1.23E-2</v>
      </c>
      <c r="R8" s="21">
        <v>1.3899999999999999E-2</v>
      </c>
    </row>
    <row r="9" spans="1:28" ht="15.75">
      <c r="A9" s="79" t="s">
        <v>3</v>
      </c>
      <c r="B9" s="79"/>
      <c r="C9" s="79"/>
      <c r="D9" s="79"/>
      <c r="E9" s="79"/>
      <c r="F9" s="79"/>
      <c r="G9" s="79"/>
      <c r="H9" s="79"/>
      <c r="I9" s="80">
        <v>3.5499999999999997E-2</v>
      </c>
      <c r="J9" s="80"/>
      <c r="L9" s="18" t="str">
        <f>L8</f>
        <v>Construção e Reforma de Edifícios</v>
      </c>
      <c r="M9" s="20" t="s">
        <v>1</v>
      </c>
      <c r="N9" s="18" t="str">
        <f t="shared" si="0"/>
        <v>Construção e Reforma de Edifícios-L</v>
      </c>
      <c r="P9" s="21">
        <v>6.1600000000000002E-2</v>
      </c>
      <c r="Q9" s="21">
        <v>7.400000000000001E-2</v>
      </c>
      <c r="R9" s="21">
        <v>8.9600000000000013E-2</v>
      </c>
    </row>
    <row r="10" spans="1:28" ht="15.75" customHeight="1">
      <c r="A10" s="81"/>
      <c r="B10" s="81"/>
      <c r="C10" s="81"/>
      <c r="D10" s="81"/>
      <c r="E10" s="81"/>
      <c r="F10" s="81"/>
      <c r="G10" s="81"/>
      <c r="H10" s="81"/>
      <c r="I10" s="81"/>
      <c r="J10" s="81"/>
      <c r="L10" s="18" t="str">
        <f>L9</f>
        <v>Construção e Reforma de Edifícios</v>
      </c>
      <c r="M10" s="26" t="s">
        <v>81</v>
      </c>
      <c r="N10" s="18" t="str">
        <f t="shared" si="0"/>
        <v>Construção e Reforma de Edifícios-BDI PAD</v>
      </c>
      <c r="P10" s="21">
        <v>0.2034</v>
      </c>
      <c r="Q10" s="21">
        <v>0.22120000000000001</v>
      </c>
      <c r="R10" s="21">
        <v>0.25</v>
      </c>
    </row>
    <row r="11" spans="1:28" ht="15.75">
      <c r="A11" s="82" t="s">
        <v>97</v>
      </c>
      <c r="B11" s="82"/>
      <c r="C11" s="82"/>
      <c r="D11" s="82"/>
      <c r="E11" s="82" t="s">
        <v>98</v>
      </c>
      <c r="F11" s="75" t="s">
        <v>99</v>
      </c>
      <c r="G11" s="75" t="s">
        <v>100</v>
      </c>
      <c r="H11" s="82" t="s">
        <v>101</v>
      </c>
      <c r="I11" s="82" t="s">
        <v>102</v>
      </c>
      <c r="J11" s="82" t="s">
        <v>103</v>
      </c>
      <c r="L11" s="18" t="s">
        <v>86</v>
      </c>
      <c r="M11" s="20" t="s">
        <v>6</v>
      </c>
      <c r="N11" s="18" t="str">
        <f t="shared" si="0"/>
        <v>Construção de Praças Urbanas, Rodovias, Ferrovias e recapeamento e pavimentação de vias urbanas-AC</v>
      </c>
      <c r="P11" s="21">
        <v>3.7999999999999999E-2</v>
      </c>
      <c r="Q11" s="21">
        <v>4.0099999999999997E-2</v>
      </c>
      <c r="R11" s="21">
        <v>4.6699999999999998E-2</v>
      </c>
      <c r="W11" s="17"/>
      <c r="X11" s="17"/>
      <c r="Y11" s="17"/>
      <c r="Z11" s="17"/>
      <c r="AA11" s="17"/>
      <c r="AB11" s="17"/>
    </row>
    <row r="12" spans="1:28" ht="15.75">
      <c r="A12" s="82"/>
      <c r="B12" s="82"/>
      <c r="C12" s="82"/>
      <c r="D12" s="82"/>
      <c r="E12" s="82"/>
      <c r="F12" s="75"/>
      <c r="G12" s="75"/>
      <c r="H12" s="82"/>
      <c r="I12" s="82"/>
      <c r="J12" s="82"/>
      <c r="L12" s="18" t="s">
        <v>86</v>
      </c>
      <c r="M12" s="20" t="s">
        <v>8</v>
      </c>
      <c r="N12" s="18" t="str">
        <f t="shared" si="0"/>
        <v>Construção de Praças Urbanas, Rodovias, Ferrovias e recapeamento e pavimentação de vias urbanas-SG</v>
      </c>
      <c r="P12" s="21">
        <v>3.2000000000000002E-3</v>
      </c>
      <c r="Q12" s="21">
        <v>4.0000000000000001E-3</v>
      </c>
      <c r="R12" s="21">
        <v>7.4000000000000003E-3</v>
      </c>
      <c r="W12" s="17"/>
      <c r="X12" s="17"/>
      <c r="Y12" s="17"/>
      <c r="Z12" s="17"/>
      <c r="AA12" s="17"/>
      <c r="AB12" s="17"/>
    </row>
    <row r="13" spans="1:28" ht="15.75">
      <c r="A13" s="54" t="str">
        <f>IF($A$6=$L$71,"Encargos Sociais incidentes sobre a mão de obra","Administração Central")</f>
        <v>Administração Central</v>
      </c>
      <c r="B13" s="54"/>
      <c r="C13" s="54"/>
      <c r="D13" s="54"/>
      <c r="E13" s="29" t="str">
        <f>IF($A$6=$L$71,"K1","AC")</f>
        <v>AC</v>
      </c>
      <c r="F13" s="31">
        <f>H13</f>
        <v>0.03</v>
      </c>
      <c r="G13" s="32" t="s">
        <v>4</v>
      </c>
      <c r="H13" s="50">
        <f>VLOOKUP(CONCATENATE(A$6,"-",E13),$N$5:$R$61,3,FALSE)</f>
        <v>0.03</v>
      </c>
      <c r="I13" s="33">
        <f>VLOOKUP(CONCATENATE(A$6,"-",E13),$N$5:$R$61,4,FALSE)</f>
        <v>0.04</v>
      </c>
      <c r="J13" s="33">
        <f>VLOOKUP(CONCATENATE(A$6,"-",E13),$N$5:$R$61,5,FALSE)</f>
        <v>5.5E-2</v>
      </c>
      <c r="L13" s="18" t="s">
        <v>86</v>
      </c>
      <c r="M13" s="20" t="s">
        <v>9</v>
      </c>
      <c r="N13" s="18" t="str">
        <f t="shared" si="0"/>
        <v>Construção de Praças Urbanas, Rodovias, Ferrovias e recapeamento e pavimentação de vias urbanas-R</v>
      </c>
      <c r="P13" s="21">
        <v>5.0000000000000001E-3</v>
      </c>
      <c r="Q13" s="21">
        <v>5.6000000000000008E-3</v>
      </c>
      <c r="R13" s="21">
        <v>9.7000000000000003E-3</v>
      </c>
      <c r="W13" s="17"/>
      <c r="X13" s="17"/>
      <c r="Y13" s="17"/>
      <c r="Z13" s="17"/>
      <c r="AA13" s="17"/>
      <c r="AB13" s="17"/>
    </row>
    <row r="14" spans="1:28" ht="15.75">
      <c r="A14" s="54" t="str">
        <f>IF($A$6=$L$71,"Administração Central da empresa ou consultoria - overhead","Seguro e Garantia")</f>
        <v>Seguro e Garantia</v>
      </c>
      <c r="B14" s="54"/>
      <c r="C14" s="54"/>
      <c r="D14" s="54"/>
      <c r="E14" s="29" t="str">
        <f>IF($A$6=$L$71,"K2","SG")</f>
        <v>SG</v>
      </c>
      <c r="F14" s="31">
        <f>H14</f>
        <v>8.0000000000000002E-3</v>
      </c>
      <c r="G14" s="32" t="s">
        <v>4</v>
      </c>
      <c r="H14" s="50">
        <f>VLOOKUP(CONCATENATE(A$6,"-",E14),$N$5:$R$61,3,FALSE)</f>
        <v>8.0000000000000002E-3</v>
      </c>
      <c r="I14" s="33">
        <f>VLOOKUP(CONCATENATE(A$6,"-",E14),$N$5:$R$61,4,FALSE)</f>
        <v>8.0000000000000002E-3</v>
      </c>
      <c r="J14" s="33">
        <f>VLOOKUP(CONCATENATE(A$6,"-",E14),$N$5:$R$61,5,FALSE)</f>
        <v>0.01</v>
      </c>
      <c r="L14" s="18" t="s">
        <v>86</v>
      </c>
      <c r="M14" s="20" t="s">
        <v>10</v>
      </c>
      <c r="N14" s="18" t="str">
        <f t="shared" si="0"/>
        <v>Construção de Praças Urbanas, Rodovias, Ferrovias e recapeamento e pavimentação de vias urbanas-DF</v>
      </c>
      <c r="P14" s="21">
        <v>1.0200000000000001E-2</v>
      </c>
      <c r="Q14" s="21">
        <v>1.11E-2</v>
      </c>
      <c r="R14" s="21">
        <v>1.21E-2</v>
      </c>
      <c r="W14" s="17"/>
      <c r="X14" s="17"/>
      <c r="Y14" s="17"/>
      <c r="Z14" s="17"/>
      <c r="AA14" s="17"/>
      <c r="AB14" s="17"/>
    </row>
    <row r="15" spans="1:28" ht="15.75">
      <c r="A15" s="54" t="str">
        <f>IF($A$6=$L$71,"","Risco")</f>
        <v>Risco</v>
      </c>
      <c r="B15" s="54"/>
      <c r="C15" s="54"/>
      <c r="D15" s="54"/>
      <c r="E15" s="29" t="str">
        <f>IF($A$6=$L$71,"","R")</f>
        <v>R</v>
      </c>
      <c r="F15" s="31">
        <f>H15</f>
        <v>9.7000000000000003E-3</v>
      </c>
      <c r="G15" s="32"/>
      <c r="H15" s="50">
        <f>VLOOKUP(CONCATENATE(A$6,"-",E15),$N$5:$R$61,3,FALSE)</f>
        <v>9.7000000000000003E-3</v>
      </c>
      <c r="I15" s="33">
        <f>VLOOKUP(CONCATENATE(A$6,"-",E15),$N$5:$R$61,4,FALSE)</f>
        <v>1.2699999999999999E-2</v>
      </c>
      <c r="J15" s="33">
        <f>VLOOKUP(CONCATENATE(A$6,"-",E15),$N$5:$R$61,5,FALSE)</f>
        <v>1.2699999999999999E-2</v>
      </c>
      <c r="L15" s="18" t="s">
        <v>86</v>
      </c>
      <c r="M15" s="20" t="s">
        <v>1</v>
      </c>
      <c r="N15" s="18" t="str">
        <f t="shared" si="0"/>
        <v>Construção de Praças Urbanas, Rodovias, Ferrovias e recapeamento e pavimentação de vias urbanas-L</v>
      </c>
      <c r="P15" s="21">
        <v>6.6400000000000001E-2</v>
      </c>
      <c r="Q15" s="21">
        <v>7.2999999999999995E-2</v>
      </c>
      <c r="R15" s="21">
        <v>8.6899999999999991E-2</v>
      </c>
      <c r="W15" s="17"/>
      <c r="X15" s="17"/>
      <c r="Y15" s="17"/>
      <c r="Z15" s="17"/>
      <c r="AA15" s="17"/>
      <c r="AB15" s="17"/>
    </row>
    <row r="16" spans="1:28" ht="15.75">
      <c r="A16" s="54" t="str">
        <f>IF($A$6=$L$71,"","Despesas Financeiras")</f>
        <v>Despesas Financeiras</v>
      </c>
      <c r="B16" s="54"/>
      <c r="C16" s="54"/>
      <c r="D16" s="54"/>
      <c r="E16" s="29" t="str">
        <f>IF($A$6=$L$71,"","DF")</f>
        <v>DF</v>
      </c>
      <c r="F16" s="31">
        <f>H16</f>
        <v>5.8999999999999999E-3</v>
      </c>
      <c r="G16" s="32" t="s">
        <v>4</v>
      </c>
      <c r="H16" s="50">
        <f>VLOOKUP(CONCATENATE(A$6,"-",E16),$N$5:$R$61,3,FALSE)</f>
        <v>5.8999999999999999E-3</v>
      </c>
      <c r="I16" s="33">
        <f>VLOOKUP(CONCATENATE(A$6,"-",E16),$N$5:$R$61,4,FALSE)</f>
        <v>1.23E-2</v>
      </c>
      <c r="J16" s="33">
        <f>VLOOKUP(CONCATENATE(A$6,"-",E16),$N$5:$R$61,5,FALSE)</f>
        <v>1.3899999999999999E-2</v>
      </c>
      <c r="L16" s="18" t="s">
        <v>86</v>
      </c>
      <c r="M16" s="26" t="s">
        <v>81</v>
      </c>
      <c r="N16" s="18" t="str">
        <f t="shared" si="0"/>
        <v>Construção de Praças Urbanas, Rodovias, Ferrovias e recapeamento e pavimentação de vias urbanas-BDI PAD</v>
      </c>
      <c r="P16" s="21">
        <v>0.19600000000000001</v>
      </c>
      <c r="Q16" s="21">
        <v>0.2097</v>
      </c>
      <c r="R16" s="21">
        <v>0.24230000000000002</v>
      </c>
    </row>
    <row r="17" spans="1:30" ht="15.75">
      <c r="A17" s="54" t="str">
        <f>IF($A$6=$L$71,"Margem bruta da empresa de consultoria","Lucro")</f>
        <v>Lucro</v>
      </c>
      <c r="B17" s="54"/>
      <c r="C17" s="54"/>
      <c r="D17" s="54"/>
      <c r="E17" s="29" t="str">
        <f>IF($A$6=$L$71,"K3","L")</f>
        <v>L</v>
      </c>
      <c r="F17" s="31">
        <v>6.83E-2</v>
      </c>
      <c r="G17" s="32" t="s">
        <v>4</v>
      </c>
      <c r="H17" s="50">
        <f>VLOOKUP(CONCATENATE(A$6,"-",E17),$N$5:$R$61,3,FALSE)</f>
        <v>6.1600000000000002E-2</v>
      </c>
      <c r="I17" s="50">
        <f>VLOOKUP(CONCATENATE(A$6,"-",E17),$N$5:$R$61,4,FALSE)</f>
        <v>7.400000000000001E-2</v>
      </c>
      <c r="J17" s="33">
        <f>VLOOKUP(CONCATENATE(A$6,"-",E17),$N$5:$R$61,5,FALSE)</f>
        <v>8.9600000000000013E-2</v>
      </c>
      <c r="L17" s="18" t="s">
        <v>80</v>
      </c>
      <c r="M17" s="20" t="s">
        <v>6</v>
      </c>
      <c r="N17" s="18" t="str">
        <f t="shared" si="0"/>
        <v>Construção de Redes de Abastecimento de Água, Coleta de Esgoto-AC</v>
      </c>
      <c r="P17" s="21">
        <v>3.4300000000000004E-2</v>
      </c>
      <c r="Q17" s="21">
        <v>4.9299999999999997E-2</v>
      </c>
      <c r="R17" s="21">
        <v>6.7099999999999993E-2</v>
      </c>
    </row>
    <row r="18" spans="1:30" ht="15.75">
      <c r="A18" s="54" t="s">
        <v>113</v>
      </c>
      <c r="B18" s="54"/>
      <c r="C18" s="54"/>
      <c r="D18" s="54"/>
      <c r="E18" s="29" t="s">
        <v>104</v>
      </c>
      <c r="F18" s="31">
        <v>2.0400000000000001E-2</v>
      </c>
      <c r="G18" s="32" t="s">
        <v>4</v>
      </c>
      <c r="H18" s="33">
        <v>3.6499999999999998E-2</v>
      </c>
      <c r="I18" s="33">
        <v>3.6499999999999998E-2</v>
      </c>
      <c r="J18" s="33">
        <v>3.6499999999999998E-2</v>
      </c>
      <c r="L18" s="18" t="str">
        <f>L17</f>
        <v>Construção de Redes de Abastecimento de Água, Coleta de Esgoto</v>
      </c>
      <c r="M18" s="20" t="s">
        <v>8</v>
      </c>
      <c r="N18" s="18" t="str">
        <f t="shared" si="0"/>
        <v>Construção de Redes de Abastecimento de Água, Coleta de Esgoto-SG</v>
      </c>
      <c r="P18" s="21">
        <v>2.8000000000000004E-3</v>
      </c>
      <c r="Q18" s="21">
        <v>4.8999999999999998E-3</v>
      </c>
      <c r="R18" s="21">
        <v>7.4999999999999997E-3</v>
      </c>
    </row>
    <row r="19" spans="1:30" ht="39" customHeight="1">
      <c r="A19" s="54" t="s">
        <v>117</v>
      </c>
      <c r="B19" s="54"/>
      <c r="C19" s="54"/>
      <c r="D19" s="54"/>
      <c r="E19" s="29" t="s">
        <v>5</v>
      </c>
      <c r="F19" s="33">
        <v>3.5499999999999997E-2</v>
      </c>
      <c r="G19" s="32"/>
      <c r="H19" s="33">
        <v>0</v>
      </c>
      <c r="I19" s="33">
        <v>2.5000000000000001E-2</v>
      </c>
      <c r="J19" s="33">
        <v>0.05</v>
      </c>
      <c r="M19" s="20"/>
      <c r="P19" s="21"/>
      <c r="Q19" s="21"/>
      <c r="R19" s="21"/>
      <c r="S19" s="71" t="str">
        <f>IF(U31,"Para BDI fora do intervalo estatístico, deve ser apresentado Relatório Técnico Circunstanciado justificando a adoção do percentual de cada parcela do BDI.","")</f>
        <v/>
      </c>
      <c r="T19" s="71"/>
      <c r="U19" s="17"/>
      <c r="V19" s="17"/>
    </row>
    <row r="20" spans="1:30" ht="36" customHeight="1">
      <c r="A20" s="54" t="s">
        <v>105</v>
      </c>
      <c r="B20" s="54"/>
      <c r="C20" s="54"/>
      <c r="D20" s="54"/>
      <c r="E20" s="29" t="s">
        <v>96</v>
      </c>
      <c r="F20" s="33">
        <v>4.4999999999999998E-2</v>
      </c>
      <c r="G20" s="32" t="str">
        <f>IF(AND(F20&gt;=H20, F20&lt;=J20), "OK", "Não OK")</f>
        <v>OK</v>
      </c>
      <c r="H20" s="33">
        <v>0</v>
      </c>
      <c r="I20" s="33">
        <v>4.4999999999999998E-2</v>
      </c>
      <c r="J20" s="33">
        <v>4.4999999999999998E-2</v>
      </c>
      <c r="L20" s="18" t="str">
        <f>L18</f>
        <v>Construção de Redes de Abastecimento de Água, Coleta de Esgoto</v>
      </c>
      <c r="M20" s="20" t="s">
        <v>9</v>
      </c>
      <c r="N20" s="18" t="str">
        <f t="shared" si="0"/>
        <v>Construção de Redes de Abastecimento de Água, Coleta de Esgoto-R</v>
      </c>
      <c r="P20" s="21">
        <v>0.01</v>
      </c>
      <c r="Q20" s="21">
        <v>1.3899999999999999E-2</v>
      </c>
      <c r="R20" s="21">
        <v>1.7399999999999999E-2</v>
      </c>
      <c r="S20" s="71"/>
      <c r="T20" s="71"/>
      <c r="U20" s="17"/>
      <c r="V20" s="17"/>
    </row>
    <row r="21" spans="1:30" ht="15.75">
      <c r="A21" s="54" t="s">
        <v>106</v>
      </c>
      <c r="B21" s="54"/>
      <c r="C21" s="54"/>
      <c r="D21" s="54"/>
      <c r="E21" s="29" t="s">
        <v>81</v>
      </c>
      <c r="F21" s="33">
        <f>IF($A$6=$L$70,0,ROUND((((1+F13+F14+F15)*(1+F16)*(1+F17)/(1-(F18+F19)))-1),4))</f>
        <v>0.1925</v>
      </c>
      <c r="G21" s="32" t="s">
        <v>114</v>
      </c>
      <c r="H21" s="61"/>
      <c r="I21" s="62"/>
      <c r="J21" s="63"/>
      <c r="L21" s="18" t="str">
        <f>L20</f>
        <v>Construção de Redes de Abastecimento de Água, Coleta de Esgoto</v>
      </c>
      <c r="M21" s="20" t="s">
        <v>10</v>
      </c>
      <c r="N21" s="18" t="str">
        <f t="shared" si="0"/>
        <v>Construção de Redes de Abastecimento de Água, Coleta de Esgoto-DF</v>
      </c>
      <c r="P21" s="21">
        <v>9.3999999999999986E-3</v>
      </c>
      <c r="Q21" s="21">
        <v>9.8999999999999991E-3</v>
      </c>
      <c r="R21" s="21">
        <v>1.1699999999999999E-2</v>
      </c>
      <c r="S21" s="71"/>
      <c r="T21" s="71"/>
      <c r="U21" s="17"/>
      <c r="V21" s="17"/>
      <c r="W21" s="17"/>
      <c r="X21" s="17"/>
      <c r="Y21" s="17"/>
      <c r="Z21" s="17"/>
      <c r="AA21" s="17"/>
      <c r="AB21" s="17"/>
      <c r="AC21" s="17"/>
      <c r="AD21" s="17"/>
    </row>
    <row r="22" spans="1:30" ht="15.75">
      <c r="A22" s="72" t="s">
        <v>107</v>
      </c>
      <c r="B22" s="72"/>
      <c r="C22" s="72"/>
      <c r="D22" s="72"/>
      <c r="E22" s="34" t="s">
        <v>108</v>
      </c>
      <c r="F22" s="49">
        <f>IF($A$6=$L$70,0,ROUND((((1+F13+F14+F15)*(1+F16)*(1+F17)/(1-(F18+F19+F20)))-1),4))</f>
        <v>0.25219999999999998</v>
      </c>
      <c r="G22" s="35" t="str">
        <f>IF(I6&lt;&gt;"Sim","",G21)</f>
        <v>OK</v>
      </c>
      <c r="H22" s="73"/>
      <c r="I22" s="73"/>
      <c r="J22" s="73"/>
      <c r="L22" s="18" t="str">
        <f>L21</f>
        <v>Construção de Redes de Abastecimento de Água, Coleta de Esgoto</v>
      </c>
      <c r="M22" s="20" t="s">
        <v>1</v>
      </c>
      <c r="N22" s="18" t="str">
        <f t="shared" si="0"/>
        <v>Construção de Redes de Abastecimento de Água, Coleta de Esgoto-L</v>
      </c>
      <c r="P22" s="21">
        <v>6.7400000000000002E-2</v>
      </c>
      <c r="Q22" s="21">
        <v>8.0399999999999985E-2</v>
      </c>
      <c r="R22" s="21">
        <v>9.4E-2</v>
      </c>
      <c r="S22" s="71"/>
      <c r="T22" s="71"/>
      <c r="U22" s="17"/>
      <c r="V22" s="17"/>
    </row>
    <row r="23" spans="1:30" ht="15.75">
      <c r="A23" s="24"/>
      <c r="B23" s="24"/>
      <c r="C23" s="24"/>
      <c r="D23" s="24"/>
      <c r="E23" s="24"/>
      <c r="F23" s="24"/>
      <c r="G23" s="24"/>
      <c r="H23" s="24"/>
      <c r="I23" s="24"/>
      <c r="J23" s="24"/>
      <c r="L23" s="18" t="str">
        <f>L22</f>
        <v>Construção de Redes de Abastecimento de Água, Coleta de Esgoto</v>
      </c>
      <c r="M23" s="26" t="s">
        <v>81</v>
      </c>
      <c r="N23" s="18" t="str">
        <f t="shared" si="0"/>
        <v>Construção de Redes de Abastecimento de Água, Coleta de Esgoto-BDI PAD</v>
      </c>
      <c r="P23" s="21">
        <v>0.20760000000000001</v>
      </c>
      <c r="Q23" s="21">
        <v>0.24179999999999999</v>
      </c>
      <c r="R23" s="21">
        <v>0.26440000000000002</v>
      </c>
      <c r="S23" s="71"/>
      <c r="T23" s="71"/>
      <c r="U23" s="17"/>
      <c r="V23" s="17"/>
    </row>
    <row r="24" spans="1:30" ht="15.75" customHeight="1">
      <c r="A24" s="55" t="s">
        <v>111</v>
      </c>
      <c r="B24" s="55"/>
      <c r="C24" s="55"/>
      <c r="D24" s="55"/>
      <c r="E24" s="55"/>
      <c r="F24" s="55"/>
      <c r="G24" s="55"/>
      <c r="H24" s="55"/>
      <c r="I24" s="55"/>
      <c r="J24" s="55"/>
      <c r="L24" s="18" t="s">
        <v>87</v>
      </c>
      <c r="M24" s="20" t="s">
        <v>6</v>
      </c>
      <c r="N24" s="18" t="str">
        <f t="shared" si="0"/>
        <v>Construção e Manutenção de Estações e Redes de Distribuição de Energia Elétrica-AC</v>
      </c>
      <c r="P24" s="21">
        <v>5.2900000000000003E-2</v>
      </c>
      <c r="Q24" s="21">
        <v>5.9200000000000003E-2</v>
      </c>
      <c r="R24" s="21">
        <v>7.9299999999999995E-2</v>
      </c>
      <c r="S24" s="71"/>
      <c r="T24" s="71"/>
    </row>
    <row r="25" spans="1:30" ht="15.75" customHeight="1">
      <c r="A25" s="55"/>
      <c r="B25" s="55"/>
      <c r="C25" s="55"/>
      <c r="D25" s="55"/>
      <c r="E25" s="55"/>
      <c r="F25" s="55"/>
      <c r="G25" s="55"/>
      <c r="H25" s="55"/>
      <c r="I25" s="55"/>
      <c r="J25" s="55"/>
      <c r="M25" s="20"/>
      <c r="P25" s="21"/>
      <c r="Q25" s="21"/>
      <c r="R25" s="21"/>
      <c r="S25" s="71"/>
      <c r="T25" s="71"/>
    </row>
    <row r="26" spans="1:30" ht="15.75">
      <c r="A26" s="24"/>
      <c r="B26" s="24"/>
      <c r="C26" s="24"/>
      <c r="D26" s="24"/>
      <c r="E26" s="24"/>
      <c r="F26" s="24"/>
      <c r="G26" s="24"/>
      <c r="H26" s="24"/>
      <c r="I26" s="24"/>
      <c r="J26" s="24"/>
      <c r="L26" s="18" t="str">
        <f>L24</f>
        <v>Construção e Manutenção de Estações e Redes de Distribuição de Energia Elétrica</v>
      </c>
      <c r="M26" s="20" t="s">
        <v>8</v>
      </c>
      <c r="N26" s="18" t="str">
        <f t="shared" si="0"/>
        <v>Construção e Manutenção de Estações e Redes de Distribuição de Energia Elétrica-SG</v>
      </c>
      <c r="P26" s="21">
        <v>2.5000000000000001E-3</v>
      </c>
      <c r="Q26" s="21">
        <v>5.1000000000000004E-3</v>
      </c>
      <c r="R26" s="21">
        <v>5.6000000000000008E-3</v>
      </c>
      <c r="S26" s="71"/>
      <c r="T26" s="71"/>
    </row>
    <row r="27" spans="1:30" ht="15.75">
      <c r="A27" s="74"/>
      <c r="B27" s="74"/>
      <c r="C27" s="74"/>
      <c r="D27" s="74"/>
      <c r="E27" s="74"/>
      <c r="F27" s="74"/>
      <c r="G27" s="74"/>
      <c r="H27" s="74"/>
      <c r="I27" s="74"/>
      <c r="J27" s="74"/>
      <c r="L27" s="18" t="str">
        <f>L26</f>
        <v>Construção e Manutenção de Estações e Redes de Distribuição de Energia Elétrica</v>
      </c>
      <c r="M27" s="20" t="s">
        <v>9</v>
      </c>
      <c r="N27" s="18" t="str">
        <f t="shared" si="0"/>
        <v>Construção e Manutenção de Estações e Redes de Distribuição de Energia Elétrica-R</v>
      </c>
      <c r="P27" s="21">
        <v>0.01</v>
      </c>
      <c r="Q27" s="21">
        <v>1.4800000000000001E-2</v>
      </c>
      <c r="R27" s="21">
        <v>1.9699999999999999E-2</v>
      </c>
      <c r="S27" s="71"/>
      <c r="T27" s="71"/>
    </row>
    <row r="28" spans="1:30" ht="15.75">
      <c r="A28" s="36"/>
      <c r="B28" s="36"/>
      <c r="C28" s="36"/>
      <c r="D28" s="56"/>
      <c r="E28" s="57"/>
      <c r="F28" s="57"/>
      <c r="G28" s="57"/>
      <c r="H28" s="58"/>
      <c r="I28" s="36"/>
      <c r="J28" s="36"/>
      <c r="L28" s="18" t="str">
        <f>L27</f>
        <v>Construção e Manutenção de Estações e Redes de Distribuição de Energia Elétrica</v>
      </c>
      <c r="M28" s="20" t="s">
        <v>10</v>
      </c>
      <c r="N28" s="18" t="str">
        <f t="shared" si="0"/>
        <v>Construção e Manutenção de Estações e Redes de Distribuição de Energia Elétrica-DF</v>
      </c>
      <c r="P28" s="21">
        <v>1.01E-2</v>
      </c>
      <c r="Q28" s="21">
        <v>1.0700000000000001E-2</v>
      </c>
      <c r="R28" s="21">
        <v>1.11E-2</v>
      </c>
      <c r="S28" s="71"/>
      <c r="T28" s="71"/>
    </row>
    <row r="29" spans="1:30" ht="15.75">
      <c r="A29" s="36"/>
      <c r="B29" s="36"/>
      <c r="C29" s="36"/>
      <c r="D29" s="56"/>
      <c r="E29" s="60"/>
      <c r="F29" s="60"/>
      <c r="G29" s="60"/>
      <c r="H29" s="59"/>
      <c r="I29" s="36"/>
      <c r="J29" s="36"/>
      <c r="L29" s="18" t="str">
        <f>L28</f>
        <v>Construção e Manutenção de Estações e Redes de Distribuição de Energia Elétrica</v>
      </c>
      <c r="M29" s="20" t="s">
        <v>1</v>
      </c>
      <c r="N29" s="18" t="str">
        <f t="shared" si="0"/>
        <v>Construção e Manutenção de Estações e Redes de Distribuição de Energia Elétrica-L</v>
      </c>
      <c r="P29" s="21">
        <v>0.08</v>
      </c>
      <c r="Q29" s="21">
        <v>8.3100000000000007E-2</v>
      </c>
      <c r="R29" s="21">
        <v>9.5100000000000004E-2</v>
      </c>
    </row>
    <row r="30" spans="1:30" ht="15.75">
      <c r="A30" s="37"/>
      <c r="B30" s="37"/>
      <c r="C30" s="37"/>
      <c r="D30" s="37"/>
      <c r="E30" s="37"/>
      <c r="F30" s="37"/>
      <c r="G30" s="37"/>
      <c r="H30" s="37"/>
      <c r="I30" s="37"/>
      <c r="J30" s="37"/>
      <c r="L30" s="18" t="str">
        <f>L29</f>
        <v>Construção e Manutenção de Estações e Redes de Distribuição de Energia Elétrica</v>
      </c>
      <c r="M30" s="26" t="s">
        <v>81</v>
      </c>
      <c r="N30" s="18" t="str">
        <f t="shared" si="0"/>
        <v>Construção e Manutenção de Estações e Redes de Distribuição de Energia Elétrica-BDI PAD</v>
      </c>
      <c r="P30" s="21">
        <v>0.24</v>
      </c>
      <c r="Q30" s="21">
        <v>0.25840000000000002</v>
      </c>
      <c r="R30" s="21">
        <v>0.27860000000000001</v>
      </c>
      <c r="S30" s="16"/>
      <c r="U30" s="17"/>
      <c r="V30" s="17"/>
    </row>
    <row r="31" spans="1:30" ht="15.75">
      <c r="A31" s="51" t="s">
        <v>116</v>
      </c>
      <c r="B31" s="51"/>
      <c r="C31" s="51"/>
      <c r="D31" s="51"/>
      <c r="E31" s="51"/>
      <c r="F31" s="51"/>
      <c r="G31" s="51"/>
      <c r="H31" s="51"/>
      <c r="I31" s="51"/>
      <c r="J31" s="51"/>
      <c r="L31" s="18" t="s">
        <v>88</v>
      </c>
      <c r="M31" s="20" t="s">
        <v>6</v>
      </c>
      <c r="N31" s="18" t="str">
        <f t="shared" si="0"/>
        <v>Obras Portuárias, Marítimas e Fluviais-AC</v>
      </c>
      <c r="P31" s="21">
        <v>0.04</v>
      </c>
      <c r="Q31" s="21">
        <v>5.5199999999999999E-2</v>
      </c>
      <c r="R31" s="21">
        <v>7.85E-2</v>
      </c>
      <c r="S31" s="16"/>
      <c r="U31" s="38" t="b">
        <f>AND(COUNTA(F13:F18)=6,G21&lt;&gt;"ok",NOT(U33))</f>
        <v>0</v>
      </c>
      <c r="V31" s="18" t="s">
        <v>109</v>
      </c>
    </row>
    <row r="32" spans="1:30" ht="15.75">
      <c r="A32" s="52"/>
      <c r="B32" s="52"/>
      <c r="C32" s="52"/>
      <c r="D32" s="52"/>
      <c r="E32" s="52"/>
      <c r="F32" s="52"/>
      <c r="G32" s="52"/>
      <c r="H32" s="52"/>
      <c r="I32" s="52"/>
      <c r="J32" s="52"/>
      <c r="L32" s="18" t="str">
        <f>L31</f>
        <v>Obras Portuárias, Marítimas e Fluviais</v>
      </c>
      <c r="M32" s="20" t="s">
        <v>8</v>
      </c>
      <c r="N32" s="18" t="str">
        <f t="shared" si="0"/>
        <v>Obras Portuárias, Marítimas e Fluviais-SG</v>
      </c>
      <c r="P32" s="21">
        <v>8.1000000000000013E-3</v>
      </c>
      <c r="Q32" s="21">
        <v>1.2199999999999999E-2</v>
      </c>
      <c r="R32" s="21">
        <v>1.9900000000000001E-2</v>
      </c>
      <c r="U32" s="38"/>
    </row>
    <row r="33" spans="1:22" ht="15.75">
      <c r="A33" s="52"/>
      <c r="B33" s="52"/>
      <c r="C33" s="52"/>
      <c r="D33" s="52"/>
      <c r="E33" s="52"/>
      <c r="F33" s="52"/>
      <c r="G33" s="52"/>
      <c r="H33" s="52"/>
      <c r="I33" s="52"/>
      <c r="J33" s="52"/>
      <c r="L33" s="18" t="str">
        <f>L32</f>
        <v>Obras Portuárias, Marítimas e Fluviais</v>
      </c>
      <c r="M33" s="20" t="s">
        <v>9</v>
      </c>
      <c r="N33" s="18" t="str">
        <f t="shared" si="0"/>
        <v>Obras Portuárias, Marítimas e Fluviais-R</v>
      </c>
      <c r="P33" s="21">
        <v>1.46E-2</v>
      </c>
      <c r="Q33" s="21">
        <v>2.3199999999999998E-2</v>
      </c>
      <c r="R33" s="21">
        <v>3.1600000000000003E-2</v>
      </c>
      <c r="U33" s="38" t="b">
        <v>0</v>
      </c>
      <c r="V33" s="18" t="s">
        <v>110</v>
      </c>
    </row>
    <row r="34" spans="1:22" ht="15.75">
      <c r="A34" s="52"/>
      <c r="B34" s="52"/>
      <c r="C34" s="52"/>
      <c r="D34" s="52"/>
      <c r="E34" s="52"/>
      <c r="F34" s="52"/>
      <c r="G34" s="52"/>
      <c r="H34" s="52"/>
      <c r="I34" s="52"/>
      <c r="J34" s="52"/>
      <c r="M34" s="20"/>
      <c r="P34" s="21"/>
      <c r="Q34" s="21"/>
      <c r="R34" s="21"/>
      <c r="U34" s="38"/>
    </row>
    <row r="35" spans="1:22" ht="15.75">
      <c r="A35" s="52"/>
      <c r="B35" s="52"/>
      <c r="C35" s="52"/>
      <c r="D35" s="52"/>
      <c r="E35" s="52"/>
      <c r="F35" s="52"/>
      <c r="G35" s="52"/>
      <c r="H35" s="52"/>
      <c r="I35" s="52"/>
      <c r="J35" s="52"/>
      <c r="M35" s="20"/>
      <c r="P35" s="21"/>
      <c r="Q35" s="21"/>
      <c r="R35" s="21"/>
    </row>
    <row r="36" spans="1:22" ht="15.75">
      <c r="A36" s="52"/>
      <c r="B36" s="52"/>
      <c r="C36" s="52"/>
      <c r="D36" s="52"/>
      <c r="E36" s="52"/>
      <c r="F36" s="52"/>
      <c r="G36" s="52"/>
      <c r="H36" s="52"/>
      <c r="I36" s="52"/>
      <c r="J36" s="52"/>
      <c r="L36" s="18" t="str">
        <f>L33</f>
        <v>Obras Portuárias, Marítimas e Fluviais</v>
      </c>
      <c r="M36" s="20" t="s">
        <v>10</v>
      </c>
      <c r="N36" s="18" t="str">
        <f t="shared" si="0"/>
        <v>Obras Portuárias, Marítimas e Fluviais-DF</v>
      </c>
      <c r="P36" s="21">
        <v>9.3999999999999986E-3</v>
      </c>
      <c r="Q36" s="21">
        <v>1.0200000000000001E-2</v>
      </c>
      <c r="R36" s="21">
        <v>1.3300000000000001E-2</v>
      </c>
    </row>
    <row r="37" spans="1:22" ht="15.75">
      <c r="A37" s="52"/>
      <c r="B37" s="52"/>
      <c r="C37" s="52"/>
      <c r="D37" s="52"/>
      <c r="E37" s="52"/>
      <c r="F37" s="52"/>
      <c r="G37" s="52"/>
      <c r="H37" s="52"/>
      <c r="I37" s="52"/>
      <c r="J37" s="52"/>
      <c r="L37" s="18" t="str">
        <f>L36</f>
        <v>Obras Portuárias, Marítimas e Fluviais</v>
      </c>
      <c r="M37" s="20" t="s">
        <v>1</v>
      </c>
      <c r="N37" s="18" t="str">
        <f t="shared" si="0"/>
        <v>Obras Portuárias, Marítimas e Fluviais-L</v>
      </c>
      <c r="P37" s="21">
        <v>7.1399999999999991E-2</v>
      </c>
      <c r="Q37" s="21">
        <v>8.4000000000000005E-2</v>
      </c>
      <c r="R37" s="21">
        <v>0.1043</v>
      </c>
    </row>
    <row r="38" spans="1:22" ht="15.75">
      <c r="A38" s="52"/>
      <c r="B38" s="52"/>
      <c r="C38" s="52"/>
      <c r="D38" s="52"/>
      <c r="E38" s="52"/>
      <c r="F38" s="52"/>
      <c r="G38" s="52"/>
      <c r="H38" s="52"/>
      <c r="I38" s="52"/>
      <c r="J38" s="52"/>
      <c r="L38" s="18" t="str">
        <f>L37</f>
        <v>Obras Portuárias, Marítimas e Fluviais</v>
      </c>
      <c r="M38" s="26" t="s">
        <v>81</v>
      </c>
      <c r="N38" s="18" t="str">
        <f t="shared" si="0"/>
        <v>Obras Portuárias, Marítimas e Fluviais-BDI PAD</v>
      </c>
      <c r="P38" s="21">
        <v>0.22800000000000001</v>
      </c>
      <c r="Q38" s="21">
        <v>0.27479999999999999</v>
      </c>
      <c r="R38" s="21">
        <v>0.3095</v>
      </c>
    </row>
    <row r="39" spans="1:22" ht="15.75">
      <c r="A39" s="52"/>
      <c r="B39" s="52"/>
      <c r="C39" s="52"/>
      <c r="D39" s="52"/>
      <c r="E39" s="52"/>
      <c r="F39" s="52"/>
      <c r="G39" s="52"/>
      <c r="H39" s="52"/>
      <c r="I39" s="52"/>
      <c r="J39" s="52"/>
      <c r="M39" s="26"/>
      <c r="P39" s="21"/>
      <c r="Q39" s="21"/>
      <c r="R39" s="21"/>
    </row>
    <row r="40" spans="1:22" ht="15.75">
      <c r="A40" s="52"/>
      <c r="B40" s="52"/>
      <c r="C40" s="52"/>
      <c r="D40" s="52"/>
      <c r="E40" s="52"/>
      <c r="F40" s="52"/>
      <c r="G40" s="52"/>
      <c r="H40" s="52"/>
      <c r="I40" s="52"/>
      <c r="J40" s="52"/>
      <c r="M40" s="26"/>
      <c r="P40" s="21"/>
      <c r="Q40" s="21"/>
      <c r="R40" s="21"/>
    </row>
    <row r="41" spans="1:22" ht="15.75">
      <c r="A41" s="52"/>
      <c r="B41" s="52"/>
      <c r="C41" s="52"/>
      <c r="D41" s="52"/>
      <c r="E41" s="52"/>
      <c r="F41" s="52"/>
      <c r="G41" s="52"/>
      <c r="H41" s="52"/>
      <c r="I41" s="52"/>
      <c r="J41" s="52"/>
      <c r="M41" s="26"/>
      <c r="P41" s="21"/>
      <c r="Q41" s="21"/>
      <c r="R41" s="21"/>
    </row>
    <row r="42" spans="1:22" ht="15.75">
      <c r="A42" s="52"/>
      <c r="B42" s="52"/>
      <c r="C42" s="52"/>
      <c r="D42" s="52"/>
      <c r="E42" s="52"/>
      <c r="F42" s="52"/>
      <c r="G42" s="52"/>
      <c r="H42" s="52"/>
      <c r="I42" s="52"/>
      <c r="J42" s="52"/>
      <c r="M42" s="26"/>
      <c r="P42" s="21"/>
      <c r="Q42" s="21"/>
      <c r="R42" s="21"/>
    </row>
    <row r="43" spans="1:22" ht="15.75">
      <c r="A43" s="52"/>
      <c r="B43" s="52"/>
      <c r="C43" s="52"/>
      <c r="D43" s="52"/>
      <c r="E43" s="52"/>
      <c r="F43" s="52"/>
      <c r="G43" s="52"/>
      <c r="H43" s="52"/>
      <c r="I43" s="52"/>
      <c r="J43" s="52"/>
      <c r="M43" s="26"/>
      <c r="P43" s="21"/>
      <c r="Q43" s="21"/>
      <c r="R43" s="21"/>
    </row>
    <row r="44" spans="1:22" ht="15.75">
      <c r="A44" s="52"/>
      <c r="B44" s="52"/>
      <c r="C44" s="52"/>
      <c r="D44" s="52"/>
      <c r="E44" s="52"/>
      <c r="F44" s="52"/>
      <c r="G44" s="52"/>
      <c r="H44" s="52"/>
      <c r="I44" s="52"/>
      <c r="J44" s="52"/>
      <c r="M44" s="26"/>
      <c r="P44" s="21"/>
      <c r="Q44" s="21"/>
      <c r="R44" s="21"/>
    </row>
    <row r="45" spans="1:22" ht="15.75">
      <c r="A45" s="52"/>
      <c r="B45" s="52"/>
      <c r="C45" s="52"/>
      <c r="D45" s="52"/>
      <c r="E45" s="52"/>
      <c r="F45" s="52"/>
      <c r="G45" s="52"/>
      <c r="H45" s="52"/>
      <c r="I45" s="52"/>
      <c r="J45" s="52"/>
      <c r="M45" s="26"/>
      <c r="P45" s="21"/>
      <c r="Q45" s="21"/>
      <c r="R45" s="21"/>
    </row>
    <row r="46" spans="1:22" ht="15.75">
      <c r="A46" s="52"/>
      <c r="B46" s="52"/>
      <c r="C46" s="52"/>
      <c r="D46" s="52"/>
      <c r="E46" s="52"/>
      <c r="F46" s="52"/>
      <c r="G46" s="52"/>
      <c r="H46" s="52"/>
      <c r="I46" s="52"/>
      <c r="J46" s="52"/>
      <c r="M46" s="26"/>
      <c r="P46" s="21"/>
      <c r="Q46" s="21"/>
      <c r="R46" s="21"/>
    </row>
    <row r="47" spans="1:22" ht="15.75">
      <c r="A47" s="52"/>
      <c r="B47" s="52"/>
      <c r="C47" s="52"/>
      <c r="D47" s="52"/>
      <c r="E47" s="52"/>
      <c r="F47" s="52"/>
      <c r="G47" s="52"/>
      <c r="H47" s="52"/>
      <c r="I47" s="52"/>
      <c r="J47" s="52"/>
      <c r="M47" s="26"/>
      <c r="P47" s="21"/>
      <c r="Q47" s="21"/>
      <c r="R47" s="21"/>
    </row>
    <row r="48" spans="1:22" ht="15.75">
      <c r="A48" s="52"/>
      <c r="B48" s="52"/>
      <c r="C48" s="52"/>
      <c r="D48" s="52"/>
      <c r="E48" s="52"/>
      <c r="F48" s="52"/>
      <c r="G48" s="52"/>
      <c r="H48" s="52"/>
      <c r="I48" s="52"/>
      <c r="J48" s="52"/>
      <c r="M48" s="26"/>
      <c r="P48" s="21"/>
      <c r="Q48" s="21"/>
      <c r="R48" s="21"/>
    </row>
    <row r="49" spans="1:18" ht="15.75">
      <c r="A49" s="52"/>
      <c r="B49" s="52"/>
      <c r="C49" s="52"/>
      <c r="D49" s="52"/>
      <c r="E49" s="52"/>
      <c r="F49" s="52"/>
      <c r="G49" s="52"/>
      <c r="H49" s="52"/>
      <c r="I49" s="52"/>
      <c r="J49" s="52"/>
      <c r="M49" s="26"/>
      <c r="P49" s="21"/>
      <c r="Q49" s="21"/>
      <c r="R49" s="21"/>
    </row>
    <row r="50" spans="1:18" ht="15.75" customHeight="1">
      <c r="A50" s="52"/>
      <c r="B50" s="52"/>
      <c r="C50" s="52"/>
      <c r="D50" s="52"/>
      <c r="E50" s="52"/>
      <c r="F50" s="52"/>
      <c r="G50" s="52"/>
      <c r="H50" s="52"/>
      <c r="I50" s="52"/>
      <c r="J50" s="52"/>
      <c r="L50" s="18" t="s">
        <v>89</v>
      </c>
      <c r="M50" s="20" t="s">
        <v>6</v>
      </c>
      <c r="N50" s="18" t="str">
        <f t="shared" si="0"/>
        <v>Fornecimento de Materiais e Equipamentos (aquisição indireta - em conjunto com licitação de obras)-AC</v>
      </c>
      <c r="P50" s="21">
        <v>1.4999999999999999E-2</v>
      </c>
      <c r="Q50" s="21">
        <v>3.4500000000000003E-2</v>
      </c>
      <c r="R50" s="21">
        <v>4.4900000000000002E-2</v>
      </c>
    </row>
    <row r="51" spans="1:18" ht="15.75">
      <c r="A51" s="52"/>
      <c r="B51" s="52"/>
      <c r="C51" s="52"/>
      <c r="D51" s="52"/>
      <c r="E51" s="52"/>
      <c r="F51" s="52"/>
      <c r="G51" s="52"/>
      <c r="H51" s="52"/>
      <c r="I51" s="52"/>
      <c r="J51" s="52"/>
      <c r="L51" s="18" t="str">
        <f>L50</f>
        <v>Fornecimento de Materiais e Equipamentos (aquisição indireta - em conjunto com licitação de obras)</v>
      </c>
      <c r="M51" s="20" t="s">
        <v>8</v>
      </c>
      <c r="N51" s="18" t="str">
        <f t="shared" si="0"/>
        <v>Fornecimento de Materiais e Equipamentos (aquisição indireta - em conjunto com licitação de obras)-SG</v>
      </c>
      <c r="P51" s="21">
        <v>3.0000000000000001E-3</v>
      </c>
      <c r="Q51" s="21">
        <v>4.7999999999999996E-3</v>
      </c>
      <c r="R51" s="21">
        <v>8.199999999999999E-3</v>
      </c>
    </row>
    <row r="52" spans="1:18" ht="15.75">
      <c r="A52" s="52"/>
      <c r="B52" s="52"/>
      <c r="C52" s="52"/>
      <c r="D52" s="52"/>
      <c r="E52" s="52"/>
      <c r="F52" s="52"/>
      <c r="G52" s="52"/>
      <c r="H52" s="52"/>
      <c r="I52" s="52"/>
      <c r="J52" s="52"/>
      <c r="L52" s="18" t="str">
        <f>L51</f>
        <v>Fornecimento de Materiais e Equipamentos (aquisição indireta - em conjunto com licitação de obras)</v>
      </c>
      <c r="M52" s="20" t="s">
        <v>9</v>
      </c>
      <c r="N52" s="18" t="str">
        <f t="shared" si="0"/>
        <v>Fornecimento de Materiais e Equipamentos (aquisição indireta - em conjunto com licitação de obras)-R</v>
      </c>
      <c r="P52" s="21">
        <v>5.6000000000000008E-3</v>
      </c>
      <c r="Q52" s="21">
        <v>8.5000000000000006E-3</v>
      </c>
      <c r="R52" s="21">
        <v>8.8999999999999999E-3</v>
      </c>
    </row>
    <row r="53" spans="1:18" ht="15.75">
      <c r="A53" s="52"/>
      <c r="B53" s="52"/>
      <c r="C53" s="52"/>
      <c r="D53" s="52"/>
      <c r="E53" s="52"/>
      <c r="F53" s="52"/>
      <c r="G53" s="52"/>
      <c r="H53" s="52"/>
      <c r="I53" s="52"/>
      <c r="J53" s="52"/>
      <c r="L53" s="18" t="str">
        <f>L52</f>
        <v>Fornecimento de Materiais e Equipamentos (aquisição indireta - em conjunto com licitação de obras)</v>
      </c>
      <c r="M53" s="20" t="s">
        <v>10</v>
      </c>
      <c r="N53" s="18" t="str">
        <f t="shared" si="0"/>
        <v>Fornecimento de Materiais e Equipamentos (aquisição indireta - em conjunto com licitação de obras)-DF</v>
      </c>
      <c r="P53" s="21">
        <v>8.5000000000000006E-3</v>
      </c>
      <c r="Q53" s="21">
        <v>8.5000000000000006E-3</v>
      </c>
      <c r="R53" s="21">
        <v>1.11E-2</v>
      </c>
    </row>
    <row r="54" spans="1:18" ht="15.75">
      <c r="A54" s="53"/>
      <c r="B54" s="53"/>
      <c r="C54" s="53"/>
      <c r="D54" s="53"/>
      <c r="E54" s="53"/>
      <c r="F54" s="53"/>
      <c r="G54" s="53"/>
      <c r="H54" s="53"/>
      <c r="I54" s="53"/>
      <c r="J54" s="53"/>
      <c r="L54" s="18" t="str">
        <f>L53</f>
        <v>Fornecimento de Materiais e Equipamentos (aquisição indireta - em conjunto com licitação de obras)</v>
      </c>
      <c r="M54" s="20" t="s">
        <v>1</v>
      </c>
      <c r="N54" s="18" t="str">
        <f t="shared" si="0"/>
        <v>Fornecimento de Materiais e Equipamentos (aquisição indireta - em conjunto com licitação de obras)-L</v>
      </c>
      <c r="P54" s="21">
        <v>3.5000000000000003E-2</v>
      </c>
      <c r="Q54" s="21">
        <v>5.1100000000000007E-2</v>
      </c>
      <c r="R54" s="21">
        <v>6.2199999999999998E-2</v>
      </c>
    </row>
    <row r="55" spans="1:18" ht="15.75">
      <c r="L55" s="18" t="str">
        <f>L54</f>
        <v>Fornecimento de Materiais e Equipamentos (aquisição indireta - em conjunto com licitação de obras)</v>
      </c>
      <c r="M55" s="26" t="s">
        <v>81</v>
      </c>
      <c r="N55" s="18" t="str">
        <f t="shared" si="0"/>
        <v>Fornecimento de Materiais e Equipamentos (aquisição indireta - em conjunto com licitação de obras)-BDI PAD</v>
      </c>
      <c r="P55" s="21">
        <v>0.111</v>
      </c>
      <c r="Q55" s="21">
        <v>0.14019999999999999</v>
      </c>
      <c r="R55" s="21">
        <v>0.16800000000000001</v>
      </c>
    </row>
    <row r="56" spans="1:18" ht="15.75">
      <c r="L56" s="18" t="s">
        <v>90</v>
      </c>
      <c r="M56" s="20" t="s">
        <v>91</v>
      </c>
      <c r="N56" s="18" t="str">
        <f t="shared" si="0"/>
        <v>Estudos e Projetos, Planos e Gerenciamento e outros correlatos-K1</v>
      </c>
      <c r="P56" s="21" t="s">
        <v>4</v>
      </c>
      <c r="Q56" s="21" t="s">
        <v>4</v>
      </c>
      <c r="R56" s="21" t="s">
        <v>4</v>
      </c>
    </row>
    <row r="57" spans="1:18" ht="15.75">
      <c r="L57" s="18" t="str">
        <f>L56</f>
        <v>Estudos e Projetos, Planos e Gerenciamento e outros correlatos</v>
      </c>
      <c r="M57" s="20" t="s">
        <v>92</v>
      </c>
      <c r="N57" s="18" t="str">
        <f t="shared" si="0"/>
        <v>Estudos e Projetos, Planos e Gerenciamento e outros correlatos-K2</v>
      </c>
      <c r="P57" s="21" t="s">
        <v>4</v>
      </c>
      <c r="Q57" s="21">
        <v>0.2</v>
      </c>
      <c r="R57" s="21" t="s">
        <v>4</v>
      </c>
    </row>
    <row r="58" spans="1:18" ht="15.75">
      <c r="L58" s="18" t="str">
        <f>L57</f>
        <v>Estudos e Projetos, Planos e Gerenciamento e outros correlatos</v>
      </c>
      <c r="M58" s="20" t="s">
        <v>93</v>
      </c>
      <c r="N58" s="18" t="str">
        <f t="shared" si="0"/>
        <v>Estudos e Projetos, Planos e Gerenciamento e outros correlatos-</v>
      </c>
      <c r="P58" s="21" t="s">
        <v>4</v>
      </c>
      <c r="Q58" s="21" t="s">
        <v>4</v>
      </c>
      <c r="R58" s="21" t="s">
        <v>4</v>
      </c>
    </row>
    <row r="59" spans="1:18" ht="15.75">
      <c r="L59" s="18" t="str">
        <f>L58</f>
        <v>Estudos e Projetos, Planos e Gerenciamento e outros correlatos</v>
      </c>
      <c r="M59" s="20" t="s">
        <v>93</v>
      </c>
      <c r="N59" s="18" t="str">
        <f t="shared" si="0"/>
        <v>Estudos e Projetos, Planos e Gerenciamento e outros correlatos-</v>
      </c>
      <c r="P59" s="21" t="s">
        <v>4</v>
      </c>
      <c r="Q59" s="21" t="s">
        <v>4</v>
      </c>
      <c r="R59" s="21" t="s">
        <v>4</v>
      </c>
    </row>
    <row r="60" spans="1:18" ht="15.75">
      <c r="L60" s="18" t="str">
        <f>L59</f>
        <v>Estudos e Projetos, Planos e Gerenciamento e outros correlatos</v>
      </c>
      <c r="M60" s="20" t="s">
        <v>94</v>
      </c>
      <c r="N60" s="18" t="str">
        <f t="shared" si="0"/>
        <v>Estudos e Projetos, Planos e Gerenciamento e outros correlatos-K3</v>
      </c>
      <c r="P60" s="21" t="s">
        <v>4</v>
      </c>
      <c r="Q60" s="21">
        <v>0.12</v>
      </c>
      <c r="R60" s="21" t="s">
        <v>4</v>
      </c>
    </row>
    <row r="61" spans="1:18" ht="15.75">
      <c r="L61" s="18" t="str">
        <f>L60</f>
        <v>Estudos e Projetos, Planos e Gerenciamento e outros correlatos</v>
      </c>
      <c r="M61" s="26" t="s">
        <v>81</v>
      </c>
      <c r="N61" s="18" t="str">
        <f t="shared" si="0"/>
        <v>Estudos e Projetos, Planos e Gerenciamento e outros correlatos-BDI PAD</v>
      </c>
      <c r="P61" s="21" t="s">
        <v>4</v>
      </c>
      <c r="Q61" s="21" t="s">
        <v>4</v>
      </c>
      <c r="R61" s="21" t="s">
        <v>4</v>
      </c>
    </row>
    <row r="64" spans="1:18">
      <c r="L64" s="18" t="s">
        <v>85</v>
      </c>
    </row>
    <row r="65" spans="12:12">
      <c r="L65" s="18" t="s">
        <v>86</v>
      </c>
    </row>
    <row r="66" spans="12:12">
      <c r="L66" s="18" t="s">
        <v>80</v>
      </c>
    </row>
    <row r="67" spans="12:12">
      <c r="L67" s="18" t="s">
        <v>87</v>
      </c>
    </row>
    <row r="68" spans="12:12">
      <c r="L68" s="18" t="s">
        <v>88</v>
      </c>
    </row>
    <row r="69" spans="12:12">
      <c r="L69" s="18" t="s">
        <v>89</v>
      </c>
    </row>
    <row r="70" spans="12:12">
      <c r="L70" s="18" t="s">
        <v>95</v>
      </c>
    </row>
    <row r="71" spans="12:12">
      <c r="L71" s="18" t="s">
        <v>90</v>
      </c>
    </row>
    <row r="72" spans="12:12">
      <c r="L72" s="39"/>
    </row>
  </sheetData>
  <mergeCells count="38">
    <mergeCell ref="A10:J10"/>
    <mergeCell ref="A11:D12"/>
    <mergeCell ref="E11:E12"/>
    <mergeCell ref="I11:I12"/>
    <mergeCell ref="J11:J12"/>
    <mergeCell ref="G11:G12"/>
    <mergeCell ref="H11:H12"/>
    <mergeCell ref="I6:J6"/>
    <mergeCell ref="A8:H8"/>
    <mergeCell ref="I8:J8"/>
    <mergeCell ref="A9:H9"/>
    <mergeCell ref="I9:J9"/>
    <mergeCell ref="A2:J3"/>
    <mergeCell ref="A5:H5"/>
    <mergeCell ref="I5:J5"/>
    <mergeCell ref="S19:T28"/>
    <mergeCell ref="A20:D20"/>
    <mergeCell ref="A21:D21"/>
    <mergeCell ref="A22:D22"/>
    <mergeCell ref="H22:J22"/>
    <mergeCell ref="A27:J27"/>
    <mergeCell ref="A16:D16"/>
    <mergeCell ref="A13:D13"/>
    <mergeCell ref="A14:D14"/>
    <mergeCell ref="A15:D15"/>
    <mergeCell ref="F11:F12"/>
    <mergeCell ref="A7:J7"/>
    <mergeCell ref="A6:H6"/>
    <mergeCell ref="A31:J54"/>
    <mergeCell ref="A17:D17"/>
    <mergeCell ref="A18:D18"/>
    <mergeCell ref="A19:D19"/>
    <mergeCell ref="A24:J25"/>
    <mergeCell ref="D28:D29"/>
    <mergeCell ref="E28:G28"/>
    <mergeCell ref="H28:H29"/>
    <mergeCell ref="E29:G29"/>
    <mergeCell ref="H21:J21"/>
  </mergeCells>
  <conditionalFormatting sqref="A21:F21">
    <cfRule type="expression" dxfId="5" priority="5" stopIfTrue="1">
      <formula>$I$6="Não"</formula>
    </cfRule>
  </conditionalFormatting>
  <conditionalFormatting sqref="A22:F22">
    <cfRule type="expression" dxfId="4" priority="4" stopIfTrue="1">
      <formula>$I$6="sim"</formula>
    </cfRule>
  </conditionalFormatting>
  <conditionalFormatting sqref="G13:G22">
    <cfRule type="expression" dxfId="3" priority="6" stopIfTrue="1">
      <formula>AND(G13&lt;&gt;"OK",G13&lt;&gt;"-",G13&lt;&gt;"")</formula>
    </cfRule>
    <cfRule type="cellIs" dxfId="2" priority="7" stopIfTrue="1" operator="equal">
      <formula>"OK"</formula>
    </cfRule>
  </conditionalFormatting>
  <conditionalFormatting sqref="H13:J20 H21">
    <cfRule type="expression" dxfId="1" priority="8" stopIfTrue="1">
      <formula>$A$6=$L$70</formula>
    </cfRule>
  </conditionalFormatting>
  <conditionalFormatting sqref="H22:J22">
    <cfRule type="expression" dxfId="0" priority="3" stopIfTrue="1">
      <formula>$I$6="sim"</formula>
    </cfRule>
  </conditionalFormatting>
  <dataValidations count="6">
    <dataValidation type="decimal" allowBlank="1" showInputMessage="1" showErrorMessage="1" errorTitle="Erro de valores" error="Digite um valor entre 0% e 100%" sqref="F13:F18" xr:uid="{00000000-0002-0000-0700-000000000000}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I9:J9" xr:uid="{00000000-0002-0000-0700-000001000000}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I8:J8" xr:uid="{00000000-0002-0000-0700-000002000000}">
      <formula1>0</formula1>
      <formula2>1</formula2>
    </dataValidation>
    <dataValidation type="decimal" allowBlank="1" showInputMessage="1" showErrorMessage="1" errorTitle="Erro de valores" error="Digite um valor maior do que 0." sqref="F19" xr:uid="{00000000-0002-0000-0700-000003000000}">
      <formula1>0</formula1>
      <formula2>1</formula2>
    </dataValidation>
    <dataValidation operator="greaterThanOrEqual" allowBlank="1" showInputMessage="1" showErrorMessage="1" errorTitle="Erro de valores" error="Digite um valor igual a 0% ou 2%." sqref="F20" xr:uid="{00000000-0002-0000-0700-000004000000}"/>
    <dataValidation type="list" allowBlank="1" showInputMessage="1" showErrorMessage="1" sqref="A6:H6" xr:uid="{00000000-0002-0000-0700-000005000000}">
      <formula1>$L$64:$L$71</formula1>
    </dataValidation>
  </dataValidations>
  <printOptions horizontalCentered="1"/>
  <pageMargins left="1.1811023622047245" right="0.78740157480314965" top="1.73" bottom="0.78740157480314965" header="0.46" footer="0.19685039370078741"/>
  <pageSetup paperSize="9" scale="55" orientation="portrait" horizontalDpi="4294967293" r:id="rId1"/>
  <headerFooter>
    <oddHeader xml:space="preserve">&amp;L&amp;G&amp;CWBA ENGENHARIA E CONSTRUCOES LTDA
CNPJ nº 17.397.582/0001-94     </oddHeader>
    <oddFooter xml:space="preserve">&amp;CRua dos Abacateiros, Ed. Rio Anil, Sala 104, Pavimento 01, Jd São Francisco CEP: 65076-010, São Luís/MA
(98) 99181-7038 - wbaconsultoriaeengenharia@gmail.com  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9">
    <pageSetUpPr fitToPage="1"/>
  </sheetPr>
  <dimension ref="A1:G61"/>
  <sheetViews>
    <sheetView view="pageLayout" topLeftCell="A60" zoomScale="85" zoomScaleNormal="70" zoomScaleSheetLayoutView="70" zoomScalePageLayoutView="85" workbookViewId="0">
      <selection activeCell="D50" sqref="D50"/>
    </sheetView>
  </sheetViews>
  <sheetFormatPr defaultColWidth="9.140625" defaultRowHeight="14.25"/>
  <cols>
    <col min="1" max="1" width="16.140625" style="4" customWidth="1"/>
    <col min="2" max="2" width="13.42578125" style="4" customWidth="1"/>
    <col min="3" max="3" width="45" style="8" customWidth="1"/>
    <col min="4" max="4" width="18.140625" style="8" customWidth="1"/>
    <col min="5" max="5" width="18.140625" style="6" customWidth="1"/>
    <col min="6" max="7" width="9.140625" style="4"/>
    <col min="8" max="8" width="9.5703125" style="4" bestFit="1" customWidth="1"/>
    <col min="9" max="16384" width="9.140625" style="4"/>
  </cols>
  <sheetData>
    <row r="1" spans="1:5" ht="16.5" thickBot="1">
      <c r="A1" s="10"/>
      <c r="B1" s="3"/>
      <c r="C1" s="9"/>
      <c r="D1" s="3"/>
      <c r="E1" s="5"/>
    </row>
    <row r="2" spans="1:5">
      <c r="A2" s="85" t="s">
        <v>11</v>
      </c>
      <c r="B2" s="86"/>
      <c r="C2" s="86"/>
      <c r="D2" s="86"/>
      <c r="E2" s="86"/>
    </row>
    <row r="3" spans="1:5" ht="15" thickBot="1">
      <c r="A3" s="87"/>
      <c r="B3" s="88"/>
      <c r="C3" s="88"/>
      <c r="D3" s="88"/>
      <c r="E3" s="88"/>
    </row>
    <row r="4" spans="1:5" ht="16.5" thickBot="1">
      <c r="A4" s="10"/>
      <c r="B4" s="3"/>
      <c r="C4" s="9"/>
      <c r="D4" s="3"/>
      <c r="E4" s="5"/>
    </row>
    <row r="5" spans="1:5" ht="16.5" thickBot="1">
      <c r="A5" s="89" t="s">
        <v>0</v>
      </c>
      <c r="B5" s="90"/>
      <c r="C5" s="89" t="s">
        <v>35</v>
      </c>
      <c r="D5" s="95" t="s">
        <v>36</v>
      </c>
      <c r="E5" s="96"/>
    </row>
    <row r="6" spans="1:5">
      <c r="A6" s="91"/>
      <c r="B6" s="92"/>
      <c r="C6" s="91"/>
      <c r="D6" s="89" t="s">
        <v>37</v>
      </c>
      <c r="E6" s="97" t="s">
        <v>38</v>
      </c>
    </row>
    <row r="7" spans="1:5" ht="15" thickBot="1">
      <c r="A7" s="93"/>
      <c r="B7" s="94"/>
      <c r="C7" s="93"/>
      <c r="D7" s="93"/>
      <c r="E7" s="98"/>
    </row>
    <row r="8" spans="1:5" ht="13.5" customHeight="1">
      <c r="A8" s="44" t="s">
        <v>12</v>
      </c>
      <c r="B8" s="45"/>
      <c r="C8" s="45"/>
      <c r="D8" s="45"/>
      <c r="E8" s="45"/>
    </row>
    <row r="9" spans="1:5" ht="14.1" customHeight="1" thickBot="1">
      <c r="A9" s="46"/>
      <c r="B9" s="47"/>
      <c r="C9" s="47"/>
      <c r="D9" s="47"/>
      <c r="E9" s="47"/>
    </row>
    <row r="10" spans="1:5" ht="15">
      <c r="A10" s="99" t="s">
        <v>17</v>
      </c>
      <c r="B10" s="100"/>
      <c r="C10" s="30" t="s">
        <v>18</v>
      </c>
      <c r="D10" s="25">
        <v>0</v>
      </c>
      <c r="E10" s="25">
        <v>0</v>
      </c>
    </row>
    <row r="11" spans="1:5" ht="15">
      <c r="A11" s="101" t="s">
        <v>19</v>
      </c>
      <c r="B11" s="102"/>
      <c r="C11" s="27" t="s">
        <v>20</v>
      </c>
      <c r="D11" s="25">
        <v>0</v>
      </c>
      <c r="E11" s="25">
        <v>0</v>
      </c>
    </row>
    <row r="12" spans="1:5" ht="15">
      <c r="A12" s="101" t="s">
        <v>21</v>
      </c>
      <c r="B12" s="102"/>
      <c r="C12" s="27" t="s">
        <v>22</v>
      </c>
      <c r="D12" s="25">
        <v>0</v>
      </c>
      <c r="E12" s="25">
        <v>0</v>
      </c>
    </row>
    <row r="13" spans="1:5" ht="15">
      <c r="A13" s="101" t="s">
        <v>23</v>
      </c>
      <c r="B13" s="102"/>
      <c r="C13" s="27" t="s">
        <v>24</v>
      </c>
      <c r="D13" s="25">
        <v>0</v>
      </c>
      <c r="E13" s="25">
        <v>0</v>
      </c>
    </row>
    <row r="14" spans="1:5" ht="15">
      <c r="A14" s="101" t="s">
        <v>25</v>
      </c>
      <c r="B14" s="102"/>
      <c r="C14" s="27" t="s">
        <v>26</v>
      </c>
      <c r="D14" s="25">
        <v>0</v>
      </c>
      <c r="E14" s="25">
        <v>0</v>
      </c>
    </row>
    <row r="15" spans="1:5" ht="15">
      <c r="A15" s="101" t="s">
        <v>27</v>
      </c>
      <c r="B15" s="102"/>
      <c r="C15" s="27" t="s">
        <v>28</v>
      </c>
      <c r="D15" s="25">
        <v>0</v>
      </c>
      <c r="E15" s="25">
        <v>0</v>
      </c>
    </row>
    <row r="16" spans="1:5" ht="15">
      <c r="A16" s="101" t="s">
        <v>29</v>
      </c>
      <c r="B16" s="102"/>
      <c r="C16" s="27" t="s">
        <v>30</v>
      </c>
      <c r="D16" s="25">
        <v>0.03</v>
      </c>
      <c r="E16" s="25">
        <v>0.03</v>
      </c>
    </row>
    <row r="17" spans="1:5" ht="15">
      <c r="A17" s="101" t="s">
        <v>31</v>
      </c>
      <c r="B17" s="102"/>
      <c r="C17" s="27" t="s">
        <v>32</v>
      </c>
      <c r="D17" s="25">
        <v>0.08</v>
      </c>
      <c r="E17" s="25">
        <v>0.08</v>
      </c>
    </row>
    <row r="18" spans="1:5" ht="15">
      <c r="A18" s="101" t="s">
        <v>33</v>
      </c>
      <c r="B18" s="102"/>
      <c r="C18" s="27" t="s">
        <v>34</v>
      </c>
      <c r="D18" s="25">
        <v>0</v>
      </c>
      <c r="E18" s="25">
        <v>0</v>
      </c>
    </row>
    <row r="19" spans="1:5" s="7" customFormat="1" ht="15.75">
      <c r="A19" s="103" t="s">
        <v>16</v>
      </c>
      <c r="B19" s="104"/>
      <c r="C19" s="28" t="s">
        <v>39</v>
      </c>
      <c r="D19" s="12">
        <f>SUM(D10:D18)</f>
        <v>0.11</v>
      </c>
      <c r="E19" s="12">
        <f>SUM(E10:E18)</f>
        <v>0.11</v>
      </c>
    </row>
    <row r="20" spans="1:5" ht="16.5" thickBot="1">
      <c r="A20" s="13"/>
      <c r="B20" s="3"/>
      <c r="C20" s="2"/>
      <c r="D20" s="3"/>
      <c r="E20" s="5"/>
    </row>
    <row r="21" spans="1:5" ht="13.5" customHeight="1">
      <c r="A21" s="44" t="s">
        <v>13</v>
      </c>
      <c r="B21" s="45"/>
      <c r="C21" s="45"/>
      <c r="D21" s="45"/>
      <c r="E21" s="45"/>
    </row>
    <row r="22" spans="1:5" ht="14.1" customHeight="1" thickBot="1">
      <c r="A22" s="46"/>
      <c r="B22" s="47"/>
      <c r="C22" s="47"/>
      <c r="D22" s="47"/>
      <c r="E22" s="47"/>
    </row>
    <row r="23" spans="1:5" ht="15">
      <c r="A23" s="99" t="s">
        <v>40</v>
      </c>
      <c r="B23" s="100"/>
      <c r="C23" s="30" t="s">
        <v>51</v>
      </c>
      <c r="D23" s="25">
        <v>0.1789</v>
      </c>
      <c r="E23" s="25" t="s">
        <v>4</v>
      </c>
    </row>
    <row r="24" spans="1:5" ht="15">
      <c r="A24" s="99" t="s">
        <v>41</v>
      </c>
      <c r="B24" s="100"/>
      <c r="C24" s="27" t="s">
        <v>52</v>
      </c>
      <c r="D24" s="25">
        <v>3.95E-2</v>
      </c>
      <c r="E24" s="25" t="s">
        <v>4</v>
      </c>
    </row>
    <row r="25" spans="1:5" ht="15">
      <c r="A25" s="99" t="s">
        <v>42</v>
      </c>
      <c r="B25" s="100"/>
      <c r="C25" s="27" t="s">
        <v>53</v>
      </c>
      <c r="D25" s="25">
        <v>8.5000000000000006E-3</v>
      </c>
      <c r="E25" s="25">
        <v>6.4000000000000003E-3</v>
      </c>
    </row>
    <row r="26" spans="1:5" ht="15">
      <c r="A26" s="99" t="s">
        <v>43</v>
      </c>
      <c r="B26" s="100"/>
      <c r="C26" s="27" t="s">
        <v>54</v>
      </c>
      <c r="D26" s="25">
        <v>0.1103</v>
      </c>
      <c r="E26" s="25">
        <v>8.3299999999999999E-2</v>
      </c>
    </row>
    <row r="27" spans="1:5" ht="15">
      <c r="A27" s="99" t="s">
        <v>44</v>
      </c>
      <c r="B27" s="100"/>
      <c r="C27" s="27" t="s">
        <v>55</v>
      </c>
      <c r="D27" s="25">
        <v>5.9999999999999995E-4</v>
      </c>
      <c r="E27" s="25">
        <v>4.0000000000000002E-4</v>
      </c>
    </row>
    <row r="28" spans="1:5" ht="15">
      <c r="A28" s="99" t="s">
        <v>45</v>
      </c>
      <c r="B28" s="100"/>
      <c r="C28" s="27" t="s">
        <v>56</v>
      </c>
      <c r="D28" s="25">
        <v>7.4000000000000003E-3</v>
      </c>
      <c r="E28" s="25">
        <v>5.5999999999999999E-3</v>
      </c>
    </row>
    <row r="29" spans="1:5" ht="15">
      <c r="A29" s="99" t="s">
        <v>46</v>
      </c>
      <c r="B29" s="100"/>
      <c r="C29" s="27" t="s">
        <v>57</v>
      </c>
      <c r="D29" s="25">
        <v>1.5900000000000001E-2</v>
      </c>
      <c r="E29" s="25" t="s">
        <v>4</v>
      </c>
    </row>
    <row r="30" spans="1:5" ht="15">
      <c r="A30" s="99" t="s">
        <v>47</v>
      </c>
      <c r="B30" s="100"/>
      <c r="C30" s="27" t="s">
        <v>58</v>
      </c>
      <c r="D30" s="25">
        <v>1E-3</v>
      </c>
      <c r="E30" s="25">
        <v>8.0000000000000004E-4</v>
      </c>
    </row>
    <row r="31" spans="1:5" ht="15">
      <c r="A31" s="99" t="s">
        <v>48</v>
      </c>
      <c r="B31" s="100"/>
      <c r="C31" s="27" t="s">
        <v>59</v>
      </c>
      <c r="D31" s="25">
        <v>0.12180000000000001</v>
      </c>
      <c r="E31" s="25">
        <v>9.1999999999999998E-2</v>
      </c>
    </row>
    <row r="32" spans="1:5" ht="15">
      <c r="A32" s="99" t="s">
        <v>49</v>
      </c>
      <c r="B32" s="100"/>
      <c r="C32" s="27" t="s">
        <v>60</v>
      </c>
      <c r="D32" s="25">
        <v>4.0000000000000002E-4</v>
      </c>
      <c r="E32" s="25">
        <v>2.9999999999999997E-4</v>
      </c>
    </row>
    <row r="33" spans="1:7" s="7" customFormat="1" ht="15.75">
      <c r="A33" s="103" t="s">
        <v>50</v>
      </c>
      <c r="B33" s="104"/>
      <c r="C33" s="28" t="s">
        <v>39</v>
      </c>
      <c r="D33" s="12">
        <f>SUM(D23:D32)</f>
        <v>0.48430000000000006</v>
      </c>
      <c r="E33" s="12">
        <f>SUM(E23:E32)</f>
        <v>0.1888</v>
      </c>
    </row>
    <row r="34" spans="1:7" ht="16.5" thickBot="1">
      <c r="A34" s="13"/>
      <c r="B34" s="3"/>
      <c r="C34" s="9"/>
      <c r="D34" s="3"/>
      <c r="E34" s="5"/>
    </row>
    <row r="35" spans="1:7" ht="13.5" customHeight="1">
      <c r="A35" s="44" t="s">
        <v>14</v>
      </c>
      <c r="B35" s="45"/>
      <c r="C35" s="45"/>
      <c r="D35" s="45"/>
      <c r="E35" s="45"/>
    </row>
    <row r="36" spans="1:7" ht="14.1" customHeight="1" thickBot="1">
      <c r="A36" s="46"/>
      <c r="B36" s="47"/>
      <c r="C36" s="47"/>
      <c r="D36" s="47"/>
      <c r="E36" s="47"/>
    </row>
    <row r="37" spans="1:7" ht="15">
      <c r="A37" s="99" t="s">
        <v>61</v>
      </c>
      <c r="B37" s="100"/>
      <c r="C37" s="30" t="s">
        <v>67</v>
      </c>
      <c r="D37" s="25">
        <v>4.58E-2</v>
      </c>
      <c r="E37" s="25">
        <v>3.4599999999999999E-2</v>
      </c>
    </row>
    <row r="38" spans="1:7" ht="15">
      <c r="A38" s="99" t="s">
        <v>62</v>
      </c>
      <c r="B38" s="100"/>
      <c r="C38" s="27" t="s">
        <v>68</v>
      </c>
      <c r="D38" s="25">
        <v>1.1000000000000001E-3</v>
      </c>
      <c r="E38" s="25">
        <v>8.0000000000000004E-4</v>
      </c>
    </row>
    <row r="39" spans="1:7" ht="15">
      <c r="A39" s="99" t="s">
        <v>63</v>
      </c>
      <c r="B39" s="100"/>
      <c r="C39" s="27" t="s">
        <v>71</v>
      </c>
      <c r="D39" s="25">
        <v>1.7299999999999999E-2</v>
      </c>
      <c r="E39" s="25">
        <v>1.3100000000000001E-2</v>
      </c>
    </row>
    <row r="40" spans="1:7" ht="15">
      <c r="A40" s="99" t="s">
        <v>64</v>
      </c>
      <c r="B40" s="100"/>
      <c r="C40" s="27" t="s">
        <v>69</v>
      </c>
      <c r="D40" s="25">
        <v>2.41E-2</v>
      </c>
      <c r="E40" s="25">
        <v>1.8200000000000001E-2</v>
      </c>
      <c r="G40" s="43">
        <f>ROUND(D33*D19,4)</f>
        <v>5.33E-2</v>
      </c>
    </row>
    <row r="41" spans="1:7" ht="15">
      <c r="A41" s="99" t="s">
        <v>65</v>
      </c>
      <c r="B41" s="100"/>
      <c r="C41" s="27" t="s">
        <v>70</v>
      </c>
      <c r="D41" s="25">
        <v>3.8999999999999998E-3</v>
      </c>
      <c r="E41" s="25">
        <v>2.8999999999999998E-3</v>
      </c>
    </row>
    <row r="42" spans="1:7" s="7" customFormat="1" ht="15.75">
      <c r="A42" s="103" t="s">
        <v>66</v>
      </c>
      <c r="B42" s="104"/>
      <c r="C42" s="28" t="s">
        <v>39</v>
      </c>
      <c r="D42" s="12">
        <f>SUM(D37:D41)</f>
        <v>9.219999999999999E-2</v>
      </c>
      <c r="E42" s="12">
        <f>SUM(E37:E41)</f>
        <v>6.9600000000000009E-2</v>
      </c>
    </row>
    <row r="43" spans="1:7" ht="15.75" thickBot="1">
      <c r="A43" s="14"/>
      <c r="B43" s="11"/>
      <c r="C43" s="9"/>
      <c r="D43" s="9"/>
      <c r="E43" s="15"/>
    </row>
    <row r="44" spans="1:7" ht="13.5" customHeight="1">
      <c r="A44" s="44" t="s">
        <v>15</v>
      </c>
      <c r="B44" s="45"/>
      <c r="C44" s="45"/>
      <c r="D44" s="45"/>
      <c r="E44" s="45"/>
    </row>
    <row r="45" spans="1:7" ht="14.1" customHeight="1" thickBot="1">
      <c r="A45" s="46"/>
      <c r="B45" s="47"/>
      <c r="C45" s="47"/>
      <c r="D45" s="47"/>
      <c r="E45" s="47"/>
    </row>
    <row r="46" spans="1:7" ht="15">
      <c r="A46" s="99" t="s">
        <v>72</v>
      </c>
      <c r="B46" s="100"/>
      <c r="C46" s="30" t="s">
        <v>75</v>
      </c>
      <c r="D46" s="48">
        <f>ROUND(D19*D33,4)</f>
        <v>5.33E-2</v>
      </c>
      <c r="E46" s="48">
        <f>ROUND(E19*E33,4)</f>
        <v>2.0799999999999999E-2</v>
      </c>
    </row>
    <row r="47" spans="1:7" ht="13.5" customHeight="1">
      <c r="A47" s="105" t="s">
        <v>74</v>
      </c>
      <c r="B47" s="106"/>
      <c r="C47" s="109" t="s">
        <v>76</v>
      </c>
      <c r="D47" s="112">
        <f>ROUND((D19*D38)+(D17*D37),4)</f>
        <v>3.8E-3</v>
      </c>
      <c r="E47" s="112">
        <f>ROUND((E19*E38)+(E17*E37),4)</f>
        <v>2.8999999999999998E-3</v>
      </c>
    </row>
    <row r="48" spans="1:7" ht="13.5" customHeight="1">
      <c r="A48" s="107"/>
      <c r="B48" s="108"/>
      <c r="C48" s="110"/>
      <c r="D48" s="113"/>
      <c r="E48" s="113"/>
    </row>
    <row r="49" spans="1:5" ht="13.5" customHeight="1">
      <c r="A49" s="99"/>
      <c r="B49" s="100"/>
      <c r="C49" s="111"/>
      <c r="D49" s="114"/>
      <c r="E49" s="114"/>
    </row>
    <row r="50" spans="1:5" s="7" customFormat="1" ht="15.75">
      <c r="A50" s="103" t="s">
        <v>73</v>
      </c>
      <c r="B50" s="104"/>
      <c r="C50" s="28" t="s">
        <v>39</v>
      </c>
      <c r="D50" s="12">
        <f>SUM(D46:D47)</f>
        <v>5.7099999999999998E-2</v>
      </c>
      <c r="E50" s="12">
        <f>SUM(E46:E47)</f>
        <v>2.3699999999999999E-2</v>
      </c>
    </row>
    <row r="51" spans="1:5" ht="15.75" thickBot="1">
      <c r="A51" s="14"/>
      <c r="B51" s="11"/>
      <c r="C51" s="9"/>
      <c r="D51" s="9"/>
      <c r="E51" s="15"/>
    </row>
    <row r="52" spans="1:5" ht="14.25" customHeight="1">
      <c r="A52" s="115" t="s">
        <v>77</v>
      </c>
      <c r="B52" s="116"/>
      <c r="C52" s="116"/>
      <c r="D52" s="119">
        <f>D19+D33+D42+D50</f>
        <v>0.74360000000000004</v>
      </c>
      <c r="E52" s="119">
        <f t="shared" ref="E52" si="0">E19+E33+E42+E50</f>
        <v>0.3921</v>
      </c>
    </row>
    <row r="53" spans="1:5" ht="15" customHeight="1" thickBot="1">
      <c r="A53" s="117"/>
      <c r="B53" s="118"/>
      <c r="C53" s="118"/>
      <c r="D53" s="120"/>
      <c r="E53" s="121"/>
    </row>
    <row r="54" spans="1:5">
      <c r="A54" s="83" t="s">
        <v>115</v>
      </c>
      <c r="B54" s="83"/>
      <c r="C54" s="83"/>
      <c r="D54" s="83"/>
      <c r="E54" s="83"/>
    </row>
    <row r="55" spans="1:5">
      <c r="A55" s="84"/>
      <c r="B55" s="84"/>
      <c r="C55" s="84"/>
      <c r="D55" s="84"/>
      <c r="E55" s="84"/>
    </row>
    <row r="56" spans="1:5">
      <c r="A56" s="84"/>
      <c r="B56" s="84"/>
      <c r="C56" s="84"/>
      <c r="D56" s="84"/>
      <c r="E56" s="84"/>
    </row>
    <row r="57" spans="1:5" ht="93.75" customHeight="1">
      <c r="A57" s="84"/>
      <c r="B57" s="84"/>
      <c r="C57" s="84"/>
      <c r="D57" s="84"/>
      <c r="E57" s="84"/>
    </row>
    <row r="58" spans="1:5">
      <c r="A58" s="84"/>
      <c r="B58" s="84"/>
      <c r="C58" s="84"/>
      <c r="D58" s="84"/>
      <c r="E58" s="84"/>
    </row>
    <row r="59" spans="1:5">
      <c r="A59" s="84"/>
      <c r="B59" s="84"/>
      <c r="C59" s="84"/>
      <c r="D59" s="84"/>
      <c r="E59" s="84"/>
    </row>
    <row r="60" spans="1:5">
      <c r="A60" s="84"/>
      <c r="B60" s="84"/>
      <c r="C60" s="84"/>
      <c r="D60" s="84"/>
      <c r="E60" s="84"/>
    </row>
    <row r="61" spans="1:5">
      <c r="A61" s="84"/>
      <c r="B61" s="84"/>
      <c r="C61" s="84"/>
      <c r="D61" s="84"/>
      <c r="E61" s="84"/>
    </row>
  </sheetData>
  <mergeCells count="43">
    <mergeCell ref="A52:C53"/>
    <mergeCell ref="D52:D53"/>
    <mergeCell ref="E52:E53"/>
    <mergeCell ref="C47:C49"/>
    <mergeCell ref="A42:B42"/>
    <mergeCell ref="A46:B46"/>
    <mergeCell ref="D47:D49"/>
    <mergeCell ref="E47:E49"/>
    <mergeCell ref="A37:B37"/>
    <mergeCell ref="A47:B49"/>
    <mergeCell ref="A41:B41"/>
    <mergeCell ref="A38:B38"/>
    <mergeCell ref="A39:B39"/>
    <mergeCell ref="A40:B40"/>
    <mergeCell ref="A19:B19"/>
    <mergeCell ref="A33:B33"/>
    <mergeCell ref="A32:B32"/>
    <mergeCell ref="A23:B23"/>
    <mergeCell ref="A24:B24"/>
    <mergeCell ref="A29:B29"/>
    <mergeCell ref="A30:B30"/>
    <mergeCell ref="A31:B31"/>
    <mergeCell ref="A17:B17"/>
    <mergeCell ref="A18:B18"/>
    <mergeCell ref="A13:B13"/>
    <mergeCell ref="A14:B14"/>
    <mergeCell ref="A15:B15"/>
    <mergeCell ref="A54:E61"/>
    <mergeCell ref="A2:E3"/>
    <mergeCell ref="A5:B7"/>
    <mergeCell ref="C5:C7"/>
    <mergeCell ref="D5:E5"/>
    <mergeCell ref="E6:E7"/>
    <mergeCell ref="D6:D7"/>
    <mergeCell ref="A25:B25"/>
    <mergeCell ref="A26:B26"/>
    <mergeCell ref="A27:B27"/>
    <mergeCell ref="A28:B28"/>
    <mergeCell ref="A10:B10"/>
    <mergeCell ref="A11:B11"/>
    <mergeCell ref="A12:B12"/>
    <mergeCell ref="A50:B50"/>
    <mergeCell ref="A16:B16"/>
  </mergeCells>
  <printOptions horizontalCentered="1"/>
  <pageMargins left="1.1811023622047245" right="0.78740157480314965" top="1.75" bottom="0.78740157480314965" header="0.39370078740157483" footer="0.19685039370078741"/>
  <pageSetup paperSize="9" scale="70" orientation="portrait" r:id="rId1"/>
  <headerFooter>
    <oddHeader xml:space="preserve">&amp;L&amp;G&amp;CWBA ENGENHARIA E CONSTRUCOES LTDA
CNPJ nº 17.397.582/0001-94     </oddHeader>
    <oddFooter xml:space="preserve">&amp;CRua dos Abacateiros, Ed. Rio Anil, Sala 104, Pavimento 01, Jd São Francisco CEP: 65076-010, São Luís/MA
(98) 99181-7038 - wbaconsultoriaeengenharia@gmail.com  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BDI</vt:lpstr>
      <vt:lpstr>ENCARGOS SOCIAIS</vt:lpstr>
      <vt:lpstr>BDI!Area_de_impressao</vt:lpstr>
      <vt:lpstr>'ENCARGOS SOCIAIS'!Area_de_impressao</vt:lpstr>
      <vt:lpstr>'ENCARGOS SOCIAIS'!Titulos_de_impressao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2024-07-14T19:55:30Z</dcterms:modified>
</cp:coreProperties>
</file>